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2 рік\Очеретному, сайт, пайова\"/>
    </mc:Choice>
  </mc:AlternateContent>
  <bookViews>
    <workbookView xWindow="0" yWindow="0" windowWidth="28800" windowHeight="12015"/>
  </bookViews>
  <sheets>
    <sheet name="2022" sheetId="28" r:id="rId1"/>
    <sheet name="2021 64%" sheetId="23" state="hidden" r:id="rId2"/>
    <sheet name="2021 2 міс 64" sheetId="24" state="hidden" r:id="rId3"/>
    <sheet name="2021 3 міс 64" sheetId="25" state="hidden" r:id="rId4"/>
    <sheet name="2021 4 міс 64" sheetId="26" state="hidden" r:id="rId5"/>
    <sheet name="2022 5 міс 64" sheetId="27" state="hidden" r:id="rId6"/>
  </sheets>
  <externalReferences>
    <externalReference r:id="rId7"/>
  </externalReferences>
  <definedNames>
    <definedName name="_xlnm.Print_Titles" localSheetId="2">'2021 2 міс 64'!$3:$5</definedName>
    <definedName name="_xlnm.Print_Titles" localSheetId="3">'2021 3 міс 64'!$3:$5</definedName>
    <definedName name="_xlnm.Print_Titles" localSheetId="4">'2021 4 міс 64'!$3:$5</definedName>
    <definedName name="_xlnm.Print_Titles" localSheetId="1">'2021 64%'!$3:$5</definedName>
    <definedName name="_xlnm.Print_Titles" localSheetId="0">'2022'!$3:$5</definedName>
    <definedName name="_xlnm.Print_Titles" localSheetId="5">'2022 5 міс 64'!$3:$5</definedName>
    <definedName name="_xlnm.Print_Area" localSheetId="2">'2021 2 міс 64'!$A$1:$R$48</definedName>
    <definedName name="_xlnm.Print_Area" localSheetId="3">'2021 3 міс 64'!$A$1:$S$48</definedName>
    <definedName name="_xlnm.Print_Area" localSheetId="4">'2021 4 міс 64'!$A$1:$T$134</definedName>
    <definedName name="_xlnm.Print_Area" localSheetId="1">'2021 64%'!$A$1:$R$113</definedName>
    <definedName name="_xlnm.Print_Area" localSheetId="0">'2022'!$A$1:$V$104</definedName>
    <definedName name="_xlnm.Print_Area" localSheetId="5">'2022 5 міс 64'!$A$1:$V$48</definedName>
  </definedNames>
  <calcPr calcId="152511"/>
</workbook>
</file>

<file path=xl/calcChain.xml><?xml version="1.0" encoding="utf-8"?>
<calcChain xmlns="http://schemas.openxmlformats.org/spreadsheetml/2006/main">
  <c r="F90" i="28" l="1"/>
  <c r="T90" i="28" s="1"/>
  <c r="S89" i="28"/>
  <c r="S88" i="28" s="1"/>
  <c r="L89" i="28"/>
  <c r="K89" i="28"/>
  <c r="J89" i="28"/>
  <c r="J88" i="28" s="1"/>
  <c r="J92" i="28" s="1"/>
  <c r="I89" i="28"/>
  <c r="H89" i="28"/>
  <c r="H88" i="28" s="1"/>
  <c r="G89" i="28"/>
  <c r="D89" i="28"/>
  <c r="E89" i="28" s="1"/>
  <c r="E88" i="28" s="1"/>
  <c r="L88" i="28"/>
  <c r="K88" i="28"/>
  <c r="I88" i="28"/>
  <c r="D88" i="28"/>
  <c r="O86" i="28"/>
  <c r="O89" i="28" s="1"/>
  <c r="O88" i="28" s="1"/>
  <c r="F86" i="28"/>
  <c r="M86" i="28" s="1"/>
  <c r="S84" i="28"/>
  <c r="S92" i="28" s="1"/>
  <c r="X92" i="28" s="1"/>
  <c r="O83" i="28"/>
  <c r="F83" i="28"/>
  <c r="E83" i="28"/>
  <c r="O82" i="28"/>
  <c r="F82" i="28"/>
  <c r="U82" i="28" s="1"/>
  <c r="E82" i="28"/>
  <c r="T81" i="28"/>
  <c r="O81" i="28"/>
  <c r="N81" i="28"/>
  <c r="M81" i="28"/>
  <c r="F81" i="28"/>
  <c r="R81" i="28" s="1"/>
  <c r="E81" i="28"/>
  <c r="P80" i="28"/>
  <c r="O80" i="28"/>
  <c r="M80" i="28"/>
  <c r="F80" i="28"/>
  <c r="U80" i="28" s="1"/>
  <c r="E80" i="28"/>
  <c r="Q79" i="28"/>
  <c r="O79" i="28"/>
  <c r="F79" i="28"/>
  <c r="M79" i="28" s="1"/>
  <c r="E79" i="28"/>
  <c r="E78" i="28" s="1"/>
  <c r="S78" i="28"/>
  <c r="O78" i="28"/>
  <c r="L78" i="28"/>
  <c r="K78" i="28"/>
  <c r="J78" i="28"/>
  <c r="I78" i="28"/>
  <c r="H78" i="28"/>
  <c r="G78" i="28"/>
  <c r="D78" i="28"/>
  <c r="T77" i="28"/>
  <c r="F77" i="28"/>
  <c r="P77" i="28" s="1"/>
  <c r="E77" i="28"/>
  <c r="T76" i="28"/>
  <c r="O76" i="28"/>
  <c r="Q76" i="28" s="1"/>
  <c r="N76" i="28"/>
  <c r="M76" i="28"/>
  <c r="F76" i="28"/>
  <c r="E76" i="28"/>
  <c r="A76" i="28"/>
  <c r="A77" i="28" s="1"/>
  <c r="A78" i="28" s="1"/>
  <c r="O75" i="28"/>
  <c r="M75" i="28"/>
  <c r="F75" i="28"/>
  <c r="R75" i="28" s="1"/>
  <c r="E75" i="28"/>
  <c r="F74" i="28"/>
  <c r="E74" i="28"/>
  <c r="O73" i="28"/>
  <c r="F73" i="28"/>
  <c r="T73" i="28" s="1"/>
  <c r="E73" i="28"/>
  <c r="T72" i="28"/>
  <c r="P72" i="28"/>
  <c r="F72" i="28"/>
  <c r="F71" i="28"/>
  <c r="U71" i="28" s="1"/>
  <c r="E71" i="28"/>
  <c r="Q70" i="28"/>
  <c r="P70" i="28"/>
  <c r="O70" i="28"/>
  <c r="F70" i="28"/>
  <c r="U70" i="28" s="1"/>
  <c r="E70" i="28"/>
  <c r="S69" i="28"/>
  <c r="O69" i="28"/>
  <c r="O84" i="28" s="1"/>
  <c r="L69" i="28"/>
  <c r="L84" i="28" s="1"/>
  <c r="L92" i="28" s="1"/>
  <c r="K69" i="28"/>
  <c r="K84" i="28" s="1"/>
  <c r="J69" i="28"/>
  <c r="J84" i="28" s="1"/>
  <c r="I69" i="28"/>
  <c r="I84" i="28" s="1"/>
  <c r="I92" i="28" s="1"/>
  <c r="H69" i="28"/>
  <c r="H84" i="28" s="1"/>
  <c r="G69" i="28"/>
  <c r="G84" i="28" s="1"/>
  <c r="D69" i="28"/>
  <c r="S64" i="28"/>
  <c r="L64" i="28"/>
  <c r="L98" i="28" s="1"/>
  <c r="K64" i="28"/>
  <c r="K98" i="28" s="1"/>
  <c r="J64" i="28"/>
  <c r="I64" i="28"/>
  <c r="I98" i="28" s="1"/>
  <c r="H64" i="28"/>
  <c r="G64" i="28"/>
  <c r="F64" i="28"/>
  <c r="E64" i="28"/>
  <c r="E98" i="28" s="1"/>
  <c r="D64" i="28"/>
  <c r="D98" i="28" s="1"/>
  <c r="S62" i="28"/>
  <c r="L62" i="28"/>
  <c r="K62" i="28"/>
  <c r="F62" i="28" s="1"/>
  <c r="J62" i="28"/>
  <c r="I62" i="28"/>
  <c r="H62" i="28"/>
  <c r="G62" i="28"/>
  <c r="D62" i="28"/>
  <c r="O59" i="28"/>
  <c r="F59" i="28"/>
  <c r="E59" i="28"/>
  <c r="O58" i="28"/>
  <c r="F58" i="28"/>
  <c r="E58" i="28"/>
  <c r="O57" i="28"/>
  <c r="K57" i="28"/>
  <c r="F57" i="28" s="1"/>
  <c r="T57" i="28" s="1"/>
  <c r="E57" i="28"/>
  <c r="O56" i="28"/>
  <c r="M56" i="28"/>
  <c r="F56" i="28"/>
  <c r="T56" i="28" s="1"/>
  <c r="E56" i="28"/>
  <c r="O55" i="28"/>
  <c r="J55" i="28"/>
  <c r="F55" i="28" s="1"/>
  <c r="E55" i="28"/>
  <c r="O54" i="28"/>
  <c r="J54" i="28"/>
  <c r="F54" i="28"/>
  <c r="U54" i="28" s="1"/>
  <c r="E54" i="28"/>
  <c r="S53" i="28"/>
  <c r="S65" i="28" s="1"/>
  <c r="L53" i="28"/>
  <c r="O53" i="28" s="1"/>
  <c r="I53" i="28"/>
  <c r="I65" i="28" s="1"/>
  <c r="I63" i="28" s="1"/>
  <c r="I60" i="28" s="1"/>
  <c r="I96" i="28" s="1"/>
  <c r="H53" i="28"/>
  <c r="H65" i="28" s="1"/>
  <c r="G53" i="28"/>
  <c r="G65" i="28" s="1"/>
  <c r="D53" i="28"/>
  <c r="D65" i="28" s="1"/>
  <c r="O52" i="28"/>
  <c r="F52" i="28"/>
  <c r="T52" i="28" s="1"/>
  <c r="E52" i="28"/>
  <c r="O51" i="28"/>
  <c r="F51" i="28"/>
  <c r="O50" i="28"/>
  <c r="F50" i="28"/>
  <c r="U50" i="28" s="1"/>
  <c r="T49" i="28"/>
  <c r="O49" i="28"/>
  <c r="O62" i="28" s="1"/>
  <c r="M49" i="28"/>
  <c r="F49" i="28"/>
  <c r="E49" i="28"/>
  <c r="E62" i="28" s="1"/>
  <c r="O48" i="28"/>
  <c r="F48" i="28"/>
  <c r="T48" i="28" s="1"/>
  <c r="E48" i="28"/>
  <c r="A48" i="28"/>
  <c r="A49" i="28" s="1"/>
  <c r="A50" i="28" s="1"/>
  <c r="A51" i="28" s="1"/>
  <c r="A52" i="28" s="1"/>
  <c r="A53" i="28" s="1"/>
  <c r="O47" i="28"/>
  <c r="O64" i="28" s="1"/>
  <c r="F47" i="28"/>
  <c r="T47" i="28" s="1"/>
  <c r="AA46" i="28"/>
  <c r="O45" i="28"/>
  <c r="F45" i="28"/>
  <c r="M45" i="28" s="1"/>
  <c r="E45" i="28"/>
  <c r="Q44" i="28"/>
  <c r="O44" i="28"/>
  <c r="F44" i="28"/>
  <c r="M44" i="28" s="1"/>
  <c r="E44" i="28"/>
  <c r="T43" i="28"/>
  <c r="O43" i="28"/>
  <c r="F43" i="28"/>
  <c r="E43" i="28"/>
  <c r="O42" i="28"/>
  <c r="M42" i="28"/>
  <c r="F42" i="28"/>
  <c r="Q42" i="28" s="1"/>
  <c r="E42" i="28"/>
  <c r="O41" i="28"/>
  <c r="F41" i="28"/>
  <c r="M41" i="28" s="1"/>
  <c r="E41" i="28"/>
  <c r="O40" i="28"/>
  <c r="F40" i="28"/>
  <c r="R40" i="28" s="1"/>
  <c r="E40" i="28"/>
  <c r="O39" i="28"/>
  <c r="F39" i="28"/>
  <c r="P39" i="28" s="1"/>
  <c r="E39" i="28"/>
  <c r="A39" i="28"/>
  <c r="A40" i="28" s="1"/>
  <c r="A41" i="28" s="1"/>
  <c r="A42" i="28" s="1"/>
  <c r="A43" i="28" s="1"/>
  <c r="A44" i="28" s="1"/>
  <c r="A45" i="28" s="1"/>
  <c r="W38" i="28"/>
  <c r="O38" i="28"/>
  <c r="F38" i="28"/>
  <c r="P38" i="28" s="1"/>
  <c r="E38" i="28"/>
  <c r="T37" i="28"/>
  <c r="O37" i="28"/>
  <c r="Q37" i="28" s="1"/>
  <c r="F37" i="28"/>
  <c r="U37" i="28" s="1"/>
  <c r="E37" i="28"/>
  <c r="O36" i="28"/>
  <c r="F36" i="28"/>
  <c r="R36" i="28" s="1"/>
  <c r="E36" i="28"/>
  <c r="T35" i="28"/>
  <c r="O35" i="28"/>
  <c r="F35" i="28"/>
  <c r="E35" i="28"/>
  <c r="O34" i="28"/>
  <c r="F34" i="28"/>
  <c r="P34" i="28" s="1"/>
  <c r="E34" i="28"/>
  <c r="S33" i="28"/>
  <c r="L33" i="28"/>
  <c r="K33" i="28"/>
  <c r="W33" i="28" s="1"/>
  <c r="J33" i="28"/>
  <c r="I33" i="28"/>
  <c r="H33" i="28"/>
  <c r="G33" i="28"/>
  <c r="F33" i="28"/>
  <c r="D33" i="28"/>
  <c r="E33" i="28" s="1"/>
  <c r="O32" i="28"/>
  <c r="F32" i="28"/>
  <c r="E32" i="28"/>
  <c r="Q31" i="28"/>
  <c r="O31" i="28"/>
  <c r="F31" i="28"/>
  <c r="U31" i="28" s="1"/>
  <c r="E31" i="28"/>
  <c r="P30" i="28"/>
  <c r="O30" i="28"/>
  <c r="F30" i="28"/>
  <c r="U30" i="28" s="1"/>
  <c r="E30" i="28"/>
  <c r="W29" i="28"/>
  <c r="T29" i="28"/>
  <c r="O29" i="28"/>
  <c r="Q29" i="28" s="1"/>
  <c r="M29" i="28"/>
  <c r="F29" i="28"/>
  <c r="U29" i="28" s="1"/>
  <c r="E29" i="28"/>
  <c r="T28" i="28"/>
  <c r="O28" i="28"/>
  <c r="Q28" i="28" s="1"/>
  <c r="N28" i="28"/>
  <c r="M28" i="28"/>
  <c r="F28" i="28"/>
  <c r="E28" i="28"/>
  <c r="Q27" i="28"/>
  <c r="O27" i="28"/>
  <c r="F27" i="28"/>
  <c r="P27" i="28" s="1"/>
  <c r="E27" i="28"/>
  <c r="R27" i="28" s="1"/>
  <c r="O26" i="28"/>
  <c r="Q26" i="28" s="1"/>
  <c r="F26" i="28"/>
  <c r="U26" i="28" s="1"/>
  <c r="E26" i="28"/>
  <c r="A26" i="28"/>
  <c r="A27" i="28" s="1"/>
  <c r="A28" i="28" s="1"/>
  <c r="A29" i="28" s="1"/>
  <c r="A30" i="28" s="1"/>
  <c r="A31" i="28" s="1"/>
  <c r="A32" i="28" s="1"/>
  <c r="A33" i="28" s="1"/>
  <c r="P25" i="28"/>
  <c r="O25" i="28"/>
  <c r="F25" i="28"/>
  <c r="U25" i="28" s="1"/>
  <c r="W25" i="28" s="1"/>
  <c r="E25" i="28"/>
  <c r="U24" i="28"/>
  <c r="O24" i="28"/>
  <c r="F24" i="28"/>
  <c r="T24" i="28" s="1"/>
  <c r="E24" i="28"/>
  <c r="O23" i="28"/>
  <c r="F23" i="28"/>
  <c r="T23" i="28" s="1"/>
  <c r="E23" i="28"/>
  <c r="O22" i="28"/>
  <c r="M22" i="28"/>
  <c r="F22" i="28"/>
  <c r="Q22" i="28" s="1"/>
  <c r="E22" i="28"/>
  <c r="O21" i="28"/>
  <c r="F21" i="28"/>
  <c r="U21" i="28" s="1"/>
  <c r="E21" i="28"/>
  <c r="U20" i="28"/>
  <c r="O20" i="28"/>
  <c r="P20" i="28" s="1"/>
  <c r="F20" i="28"/>
  <c r="T20" i="28" s="1"/>
  <c r="E20" i="28"/>
  <c r="W19" i="28"/>
  <c r="S19" i="28"/>
  <c r="L19" i="28"/>
  <c r="K19" i="28"/>
  <c r="J19" i="28"/>
  <c r="I19" i="28"/>
  <c r="H19" i="28"/>
  <c r="G19" i="28"/>
  <c r="D19" i="28"/>
  <c r="E19" i="28" s="1"/>
  <c r="O18" i="28"/>
  <c r="F18" i="28"/>
  <c r="P18" i="28" s="1"/>
  <c r="E18" i="28"/>
  <c r="U17" i="28"/>
  <c r="O17" i="28"/>
  <c r="P17" i="28" s="1"/>
  <c r="F17" i="28"/>
  <c r="T17" i="28" s="1"/>
  <c r="E17" i="28"/>
  <c r="T16" i="28"/>
  <c r="O16" i="28"/>
  <c r="M16" i="28"/>
  <c r="F16" i="28"/>
  <c r="E16" i="28"/>
  <c r="W15" i="28"/>
  <c r="T15" i="28"/>
  <c r="O15" i="28"/>
  <c r="M15" i="28"/>
  <c r="F15" i="28"/>
  <c r="E15" i="28"/>
  <c r="S14" i="28"/>
  <c r="O14" i="28"/>
  <c r="L14" i="28"/>
  <c r="K14" i="28"/>
  <c r="J14" i="28"/>
  <c r="I14" i="28"/>
  <c r="H14" i="28"/>
  <c r="F14" i="28" s="1"/>
  <c r="P14" i="28" s="1"/>
  <c r="G14" i="28"/>
  <c r="E14" i="28"/>
  <c r="D14" i="28"/>
  <c r="P13" i="28"/>
  <c r="O13" i="28"/>
  <c r="F13" i="28"/>
  <c r="U13" i="28" s="1"/>
  <c r="E13" i="28"/>
  <c r="O12" i="28"/>
  <c r="N12" i="28"/>
  <c r="F12" i="28"/>
  <c r="T12" i="28" s="1"/>
  <c r="E12" i="28"/>
  <c r="O11" i="28"/>
  <c r="F11" i="28"/>
  <c r="Q11" i="28" s="1"/>
  <c r="E11" i="28"/>
  <c r="Q10" i="28"/>
  <c r="P10" i="28"/>
  <c r="O10" i="28"/>
  <c r="F10" i="28"/>
  <c r="U10" i="28" s="1"/>
  <c r="E10" i="28"/>
  <c r="S9" i="28"/>
  <c r="L9" i="28"/>
  <c r="K9" i="28"/>
  <c r="J9" i="28"/>
  <c r="I9" i="28"/>
  <c r="H9" i="28"/>
  <c r="H46" i="28" s="1"/>
  <c r="H94" i="28" s="1"/>
  <c r="G9" i="28"/>
  <c r="D9" i="28"/>
  <c r="D46" i="28" s="1"/>
  <c r="Z8" i="28"/>
  <c r="Y8" i="28"/>
  <c r="P8" i="28"/>
  <c r="O8" i="28"/>
  <c r="F8" i="28"/>
  <c r="U8" i="28" s="1"/>
  <c r="E8" i="28"/>
  <c r="A8" i="28"/>
  <c r="Z7" i="28"/>
  <c r="Y7" i="28"/>
  <c r="O7" i="28"/>
  <c r="F7" i="28"/>
  <c r="P7" i="28" s="1"/>
  <c r="E7" i="28"/>
  <c r="S5" i="28"/>
  <c r="T5" i="28" s="1"/>
  <c r="U5" i="28" s="1"/>
  <c r="V5" i="28" s="1"/>
  <c r="M5" i="28"/>
  <c r="N5" i="28" s="1"/>
  <c r="O5" i="28" s="1"/>
  <c r="P5" i="28" s="1"/>
  <c r="Q5" i="28" s="1"/>
  <c r="D5" i="28"/>
  <c r="E5" i="28" s="1"/>
  <c r="F5" i="28" s="1"/>
  <c r="G5" i="28" s="1"/>
  <c r="H5" i="28" s="1"/>
  <c r="I5" i="28" s="1"/>
  <c r="J5" i="28" s="1"/>
  <c r="K5" i="28" s="1"/>
  <c r="C5" i="28"/>
  <c r="Q8" i="28" l="1"/>
  <c r="I46" i="28"/>
  <c r="I94" i="28" s="1"/>
  <c r="I101" i="28" s="1"/>
  <c r="I111" i="28" s="1"/>
  <c r="M11" i="28"/>
  <c r="P12" i="28"/>
  <c r="Q13" i="28"/>
  <c r="Y24" i="28"/>
  <c r="T25" i="28"/>
  <c r="P26" i="28"/>
  <c r="T30" i="28"/>
  <c r="O33" i="28"/>
  <c r="Q35" i="28"/>
  <c r="M36" i="28"/>
  <c r="O65" i="28"/>
  <c r="O99" i="28" s="1"/>
  <c r="M52" i="28"/>
  <c r="J53" i="28"/>
  <c r="J65" i="28" s="1"/>
  <c r="J63" i="28" s="1"/>
  <c r="J60" i="28" s="1"/>
  <c r="S98" i="28"/>
  <c r="M71" i="28"/>
  <c r="N73" i="28"/>
  <c r="R76" i="28"/>
  <c r="U76" i="28"/>
  <c r="R79" i="28"/>
  <c r="U81" i="28"/>
  <c r="P86" i="28"/>
  <c r="J46" i="28"/>
  <c r="J94" i="28" s="1"/>
  <c r="U12" i="28"/>
  <c r="Q15" i="28"/>
  <c r="Q16" i="28"/>
  <c r="N17" i="28"/>
  <c r="T18" i="28"/>
  <c r="N20" i="28"/>
  <c r="P21" i="28"/>
  <c r="T22" i="28"/>
  <c r="T26" i="28"/>
  <c r="R28" i="28"/>
  <c r="P32" i="28"/>
  <c r="M35" i="28"/>
  <c r="N36" i="28"/>
  <c r="M37" i="28"/>
  <c r="P41" i="28"/>
  <c r="T42" i="28"/>
  <c r="Q45" i="28"/>
  <c r="Q49" i="28"/>
  <c r="P50" i="28"/>
  <c r="K53" i="28"/>
  <c r="H98" i="28"/>
  <c r="L65" i="28"/>
  <c r="L99" i="28" s="1"/>
  <c r="K92" i="28"/>
  <c r="T11" i="28"/>
  <c r="Q21" i="28"/>
  <c r="Q36" i="28"/>
  <c r="Q41" i="28"/>
  <c r="P54" i="28"/>
  <c r="Q56" i="28"/>
  <c r="L63" i="28"/>
  <c r="L60" i="28" s="1"/>
  <c r="L96" i="28" s="1"/>
  <c r="P73" i="28"/>
  <c r="P33" i="28"/>
  <c r="F19" i="28"/>
  <c r="T19" i="28" s="1"/>
  <c r="M30" i="28"/>
  <c r="T36" i="28"/>
  <c r="P37" i="28"/>
  <c r="Q47" i="28"/>
  <c r="J98" i="28"/>
  <c r="F69" i="28"/>
  <c r="T69" i="28" s="1"/>
  <c r="O92" i="28"/>
  <c r="U73" i="28"/>
  <c r="Q23" i="28"/>
  <c r="N24" i="28"/>
  <c r="M25" i="28"/>
  <c r="F9" i="28"/>
  <c r="U9" i="28" s="1"/>
  <c r="S46" i="28"/>
  <c r="M23" i="28"/>
  <c r="P24" i="28"/>
  <c r="Q25" i="28"/>
  <c r="M26" i="28"/>
  <c r="P29" i="28"/>
  <c r="Q30" i="28"/>
  <c r="P31" i="28"/>
  <c r="U36" i="28"/>
  <c r="R41" i="28"/>
  <c r="M47" i="28"/>
  <c r="M48" i="28"/>
  <c r="E53" i="28"/>
  <c r="E65" i="28" s="1"/>
  <c r="N56" i="28"/>
  <c r="H92" i="28"/>
  <c r="P76" i="28"/>
  <c r="P79" i="28"/>
  <c r="P82" i="28"/>
  <c r="T9" i="28"/>
  <c r="M9" i="28"/>
  <c r="Q9" i="28"/>
  <c r="P9" i="28"/>
  <c r="E99" i="28"/>
  <c r="E97" i="28" s="1"/>
  <c r="E63" i="28"/>
  <c r="E60" i="28" s="1"/>
  <c r="S94" i="28"/>
  <c r="Y44" i="28"/>
  <c r="X46" i="28"/>
  <c r="N19" i="28"/>
  <c r="R19" i="28"/>
  <c r="U19" i="28"/>
  <c r="R7" i="28"/>
  <c r="Q7" i="28"/>
  <c r="O9" i="28"/>
  <c r="R11" i="28"/>
  <c r="Q14" i="28"/>
  <c r="R15" i="28"/>
  <c r="R16" i="28"/>
  <c r="O19" i="28"/>
  <c r="Q19" i="28" s="1"/>
  <c r="R22" i="28"/>
  <c r="R23" i="28"/>
  <c r="Q32" i="28"/>
  <c r="Q33" i="28"/>
  <c r="Q34" i="28"/>
  <c r="R35" i="28"/>
  <c r="Q38" i="28"/>
  <c r="Q39" i="28"/>
  <c r="T40" i="28"/>
  <c r="R42" i="28"/>
  <c r="G46" i="28"/>
  <c r="O63" i="28"/>
  <c r="O60" i="28" s="1"/>
  <c r="G99" i="28"/>
  <c r="G63" i="28"/>
  <c r="R33" i="28"/>
  <c r="R38" i="28"/>
  <c r="R39" i="28"/>
  <c r="T62" i="28"/>
  <c r="N62" i="28"/>
  <c r="M62" i="28"/>
  <c r="R62" i="28"/>
  <c r="P62" i="28"/>
  <c r="M7" i="28"/>
  <c r="T7" i="28"/>
  <c r="R8" i="28"/>
  <c r="E9" i="28"/>
  <c r="R9" i="28" s="1"/>
  <c r="K46" i="28"/>
  <c r="K94" i="28" s="1"/>
  <c r="R10" i="28"/>
  <c r="N11" i="28"/>
  <c r="U11" i="28"/>
  <c r="R13" i="28"/>
  <c r="M14" i="28"/>
  <c r="N15" i="28"/>
  <c r="U15" i="28"/>
  <c r="N16" i="28"/>
  <c r="U16" i="28"/>
  <c r="X19" i="28"/>
  <c r="R21" i="28"/>
  <c r="N22" i="28"/>
  <c r="U22" i="28"/>
  <c r="W22" i="28" s="1"/>
  <c r="N23" i="28"/>
  <c r="U23" i="28"/>
  <c r="T27" i="28"/>
  <c r="R31" i="28"/>
  <c r="M32" i="28"/>
  <c r="T32" i="28"/>
  <c r="M33" i="28"/>
  <c r="M34" i="28"/>
  <c r="T34" i="28"/>
  <c r="N35" i="28"/>
  <c r="U35" i="28"/>
  <c r="W35" i="28" s="1"/>
  <c r="M38" i="28"/>
  <c r="T38" i="28"/>
  <c r="M39" i="28"/>
  <c r="T39" i="28"/>
  <c r="M40" i="28"/>
  <c r="N42" i="28"/>
  <c r="U42" i="28"/>
  <c r="I67" i="28"/>
  <c r="U55" i="28"/>
  <c r="N55" i="28"/>
  <c r="T55" i="28"/>
  <c r="M55" i="28"/>
  <c r="R55" i="28"/>
  <c r="P55" i="28"/>
  <c r="T59" i="28"/>
  <c r="P59" i="28"/>
  <c r="M59" i="28"/>
  <c r="N69" i="28"/>
  <c r="Q69" i="28"/>
  <c r="U69" i="28"/>
  <c r="O98" i="28"/>
  <c r="O111" i="28"/>
  <c r="R34" i="28"/>
  <c r="D84" i="28"/>
  <c r="E69" i="28"/>
  <c r="E84" i="28" s="1"/>
  <c r="E92" i="28" s="1"/>
  <c r="P83" i="28"/>
  <c r="U83" i="28"/>
  <c r="N83" i="28"/>
  <c r="T83" i="28"/>
  <c r="M83" i="28"/>
  <c r="Q83" i="28"/>
  <c r="N7" i="28"/>
  <c r="U7" i="28"/>
  <c r="M8" i="28"/>
  <c r="T8" i="28"/>
  <c r="L46" i="28"/>
  <c r="L94" i="28" s="1"/>
  <c r="L101" i="28" s="1"/>
  <c r="L111" i="28" s="1"/>
  <c r="M10" i="28"/>
  <c r="T10" i="28"/>
  <c r="Q12" i="28"/>
  <c r="M13" i="28"/>
  <c r="T13" i="28"/>
  <c r="N14" i="28"/>
  <c r="T14" i="28"/>
  <c r="Q17" i="28"/>
  <c r="M18" i="28"/>
  <c r="Q20" i="28"/>
  <c r="M21" i="28"/>
  <c r="T21" i="28"/>
  <c r="Q24" i="28"/>
  <c r="R25" i="28"/>
  <c r="R26" i="28"/>
  <c r="M27" i="28"/>
  <c r="P28" i="28"/>
  <c r="R29" i="28"/>
  <c r="R30" i="28"/>
  <c r="M31" i="28"/>
  <c r="T31" i="28"/>
  <c r="N32" i="28"/>
  <c r="U32" i="28"/>
  <c r="N33" i="28"/>
  <c r="T33" i="28"/>
  <c r="N34" i="28"/>
  <c r="U34" i="28"/>
  <c r="W34" i="28" s="1"/>
  <c r="P36" i="28"/>
  <c r="R37" i="28"/>
  <c r="N38" i="28"/>
  <c r="U38" i="28"/>
  <c r="N39" i="28"/>
  <c r="U39" i="28"/>
  <c r="W39" i="28" s="1"/>
  <c r="T41" i="28"/>
  <c r="P51" i="28"/>
  <c r="U51" i="28"/>
  <c r="N51" i="28"/>
  <c r="T51" i="28"/>
  <c r="M51" i="28"/>
  <c r="Q51" i="28"/>
  <c r="J99" i="28"/>
  <c r="J97" i="28" s="1"/>
  <c r="Q62" i="28"/>
  <c r="R83" i="28"/>
  <c r="R14" i="28"/>
  <c r="S99" i="28"/>
  <c r="S97" i="28" s="1"/>
  <c r="S63" i="28"/>
  <c r="S60" i="28" s="1"/>
  <c r="G88" i="28"/>
  <c r="F88" i="28" s="1"/>
  <c r="F89" i="28"/>
  <c r="O46" i="28"/>
  <c r="O94" i="28" s="1"/>
  <c r="N8" i="28"/>
  <c r="N10" i="28"/>
  <c r="P11" i="28"/>
  <c r="R12" i="28"/>
  <c r="N13" i="28"/>
  <c r="U14" i="28"/>
  <c r="P15" i="28"/>
  <c r="X15" i="28"/>
  <c r="P16" i="28"/>
  <c r="R17" i="28"/>
  <c r="R20" i="28"/>
  <c r="N21" i="28"/>
  <c r="P22" i="28"/>
  <c r="Y22" i="28"/>
  <c r="P23" i="28"/>
  <c r="R24" i="28"/>
  <c r="N31" i="28"/>
  <c r="U33" i="28"/>
  <c r="P35" i="28"/>
  <c r="P40" i="28"/>
  <c r="P42" i="28"/>
  <c r="R43" i="28"/>
  <c r="Q43" i="28"/>
  <c r="P43" i="28"/>
  <c r="U43" i="28"/>
  <c r="N43" i="28"/>
  <c r="D63" i="28"/>
  <c r="D60" i="28" s="1"/>
  <c r="D99" i="28"/>
  <c r="D97" i="28" s="1"/>
  <c r="K65" i="28"/>
  <c r="P64" i="28"/>
  <c r="U64" i="28"/>
  <c r="T64" i="28"/>
  <c r="N64" i="28"/>
  <c r="M64" i="28"/>
  <c r="Q64" i="28"/>
  <c r="L97" i="28"/>
  <c r="F84" i="28"/>
  <c r="I99" i="28"/>
  <c r="I97" i="28" s="1"/>
  <c r="R32" i="28"/>
  <c r="H63" i="28"/>
  <c r="H60" i="28" s="1"/>
  <c r="H99" i="28"/>
  <c r="H97" i="28" s="1"/>
  <c r="M12" i="28"/>
  <c r="M17" i="28"/>
  <c r="M20" i="28"/>
  <c r="M24" i="28"/>
  <c r="N25" i="28"/>
  <c r="N26" i="28"/>
  <c r="N29" i="28"/>
  <c r="N30" i="28"/>
  <c r="N37" i="28"/>
  <c r="M43" i="28"/>
  <c r="R51" i="28"/>
  <c r="Q55" i="28"/>
  <c r="T58" i="28"/>
  <c r="P58" i="28"/>
  <c r="M58" i="28"/>
  <c r="G98" i="28"/>
  <c r="R64" i="28"/>
  <c r="T74" i="28"/>
  <c r="P74" i="28"/>
  <c r="M74" i="28"/>
  <c r="F78" i="28"/>
  <c r="P44" i="28"/>
  <c r="P45" i="28"/>
  <c r="R47" i="28"/>
  <c r="R49" i="28"/>
  <c r="X53" i="28"/>
  <c r="R56" i="28"/>
  <c r="N57" i="28"/>
  <c r="T75" i="28"/>
  <c r="R44" i="28"/>
  <c r="R45" i="28"/>
  <c r="N47" i="28"/>
  <c r="U47" i="28"/>
  <c r="P48" i="28"/>
  <c r="N49" i="28"/>
  <c r="Q50" i="28"/>
  <c r="Q54" i="28"/>
  <c r="P57" i="28"/>
  <c r="R70" i="28"/>
  <c r="P71" i="28"/>
  <c r="Q73" i="28"/>
  <c r="T79" i="28"/>
  <c r="T80" i="28"/>
  <c r="Q82" i="28"/>
  <c r="Q86" i="28"/>
  <c r="T44" i="28"/>
  <c r="T45" i="28"/>
  <c r="R50" i="28"/>
  <c r="P52" i="28"/>
  <c r="R54" i="28"/>
  <c r="Q57" i="28"/>
  <c r="M70" i="28"/>
  <c r="T70" i="28"/>
  <c r="T71" i="28"/>
  <c r="R73" i="28"/>
  <c r="P75" i="28"/>
  <c r="M77" i="28"/>
  <c r="P81" i="28"/>
  <c r="R82" i="28"/>
  <c r="R86" i="28"/>
  <c r="M90" i="28"/>
  <c r="P47" i="28"/>
  <c r="P49" i="28"/>
  <c r="M50" i="28"/>
  <c r="T50" i="28"/>
  <c r="M54" i="28"/>
  <c r="T54" i="28"/>
  <c r="P56" i="28"/>
  <c r="R57" i="28"/>
  <c r="N70" i="28"/>
  <c r="M73" i="28"/>
  <c r="Q75" i="28"/>
  <c r="Q81" i="28"/>
  <c r="M82" i="28"/>
  <c r="T82" i="28"/>
  <c r="T86" i="28"/>
  <c r="P90" i="28"/>
  <c r="N50" i="28"/>
  <c r="N54" i="28"/>
  <c r="M57" i="28"/>
  <c r="N82" i="28"/>
  <c r="U48" i="27"/>
  <c r="T48" i="27"/>
  <c r="S48" i="27"/>
  <c r="R134" i="26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T8" i="27"/>
  <c r="U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AA47" i="27"/>
  <c r="O46" i="27"/>
  <c r="F46" i="27"/>
  <c r="T46" i="27" s="1"/>
  <c r="E46" i="27"/>
  <c r="O45" i="27"/>
  <c r="M45" i="27"/>
  <c r="F45" i="27"/>
  <c r="T45" i="27" s="1"/>
  <c r="E45" i="27"/>
  <c r="O44" i="27"/>
  <c r="F44" i="27"/>
  <c r="E44" i="27"/>
  <c r="O43" i="27"/>
  <c r="F43" i="27"/>
  <c r="E43" i="27"/>
  <c r="O42" i="27"/>
  <c r="F42" i="27"/>
  <c r="E42" i="27"/>
  <c r="O41" i="27"/>
  <c r="F41" i="27"/>
  <c r="E41" i="27"/>
  <c r="R40" i="27"/>
  <c r="O40" i="27"/>
  <c r="F40" i="27"/>
  <c r="Q40" i="27" s="1"/>
  <c r="E40" i="27"/>
  <c r="A40" i="27"/>
  <c r="A41" i="27" s="1"/>
  <c r="A42" i="27" s="1"/>
  <c r="A43" i="27" s="1"/>
  <c r="A44" i="27" s="1"/>
  <c r="A45" i="27" s="1"/>
  <c r="A46" i="27" s="1"/>
  <c r="W39" i="27"/>
  <c r="O39" i="27"/>
  <c r="F39" i="27"/>
  <c r="N39" i="27" s="1"/>
  <c r="E39" i="27"/>
  <c r="P38" i="27"/>
  <c r="O38" i="27"/>
  <c r="N38" i="27"/>
  <c r="F38" i="27"/>
  <c r="R38" i="27" s="1"/>
  <c r="E38" i="27"/>
  <c r="O37" i="27"/>
  <c r="F37" i="27"/>
  <c r="T37" i="27" s="1"/>
  <c r="E37" i="27"/>
  <c r="O36" i="27"/>
  <c r="F36" i="27"/>
  <c r="R36" i="27" s="1"/>
  <c r="E36" i="27"/>
  <c r="Q35" i="27"/>
  <c r="O35" i="27"/>
  <c r="F35" i="27"/>
  <c r="P35" i="27" s="1"/>
  <c r="E35" i="27"/>
  <c r="S34" i="27"/>
  <c r="L34" i="27"/>
  <c r="K34" i="27"/>
  <c r="W34" i="27" s="1"/>
  <c r="J34" i="27"/>
  <c r="I34" i="27"/>
  <c r="H34" i="27"/>
  <c r="G34" i="27"/>
  <c r="F34" i="27" s="1"/>
  <c r="D34" i="27"/>
  <c r="O33" i="27"/>
  <c r="F33" i="27"/>
  <c r="P33" i="27" s="1"/>
  <c r="E33" i="27"/>
  <c r="O32" i="27"/>
  <c r="F32" i="27"/>
  <c r="T32" i="27" s="1"/>
  <c r="E32" i="27"/>
  <c r="O31" i="27"/>
  <c r="F31" i="27"/>
  <c r="E31" i="27"/>
  <c r="W30" i="27"/>
  <c r="O30" i="27"/>
  <c r="F30" i="27"/>
  <c r="R30" i="27" s="1"/>
  <c r="E30" i="27"/>
  <c r="O29" i="27"/>
  <c r="F29" i="27"/>
  <c r="T29" i="27" s="1"/>
  <c r="E29" i="27"/>
  <c r="O28" i="27"/>
  <c r="F28" i="27"/>
  <c r="M28" i="27" s="1"/>
  <c r="E28" i="27"/>
  <c r="O27" i="27"/>
  <c r="F27" i="27"/>
  <c r="U27" i="27" s="1"/>
  <c r="E27" i="27"/>
  <c r="A27" i="27"/>
  <c r="A28" i="27" s="1"/>
  <c r="A29" i="27" s="1"/>
  <c r="A30" i="27" s="1"/>
  <c r="A31" i="27" s="1"/>
  <c r="A32" i="27" s="1"/>
  <c r="A33" i="27" s="1"/>
  <c r="A34" i="27" s="1"/>
  <c r="O26" i="27"/>
  <c r="F26" i="27"/>
  <c r="U26" i="27" s="1"/>
  <c r="W26" i="27" s="1"/>
  <c r="E26" i="27"/>
  <c r="O25" i="27"/>
  <c r="F25" i="27"/>
  <c r="R25" i="27" s="1"/>
  <c r="E25" i="27"/>
  <c r="O24" i="27"/>
  <c r="M24" i="27"/>
  <c r="F24" i="27"/>
  <c r="N24" i="27" s="1"/>
  <c r="E24" i="27"/>
  <c r="O23" i="27"/>
  <c r="F23" i="27"/>
  <c r="Q23" i="27" s="1"/>
  <c r="E23" i="27"/>
  <c r="O22" i="27"/>
  <c r="F22" i="27"/>
  <c r="T22" i="27" s="1"/>
  <c r="E22" i="27"/>
  <c r="O21" i="27"/>
  <c r="M21" i="27"/>
  <c r="F21" i="27"/>
  <c r="Y23" i="27" s="1"/>
  <c r="E21" i="27"/>
  <c r="W20" i="27"/>
  <c r="S20" i="27"/>
  <c r="L20" i="27"/>
  <c r="K20" i="27"/>
  <c r="J20" i="27"/>
  <c r="I20" i="27"/>
  <c r="H20" i="27"/>
  <c r="G20" i="27"/>
  <c r="D20" i="27"/>
  <c r="O20" i="27" s="1"/>
  <c r="O19" i="27"/>
  <c r="F19" i="27"/>
  <c r="E19" i="27"/>
  <c r="T18" i="27"/>
  <c r="O18" i="27"/>
  <c r="Q18" i="27" s="1"/>
  <c r="M18" i="27"/>
  <c r="F18" i="27"/>
  <c r="R18" i="27" s="1"/>
  <c r="E18" i="27"/>
  <c r="O17" i="27"/>
  <c r="F17" i="27"/>
  <c r="T17" i="27" s="1"/>
  <c r="E17" i="27"/>
  <c r="W16" i="27"/>
  <c r="O16" i="27"/>
  <c r="F16" i="27"/>
  <c r="N16" i="27" s="1"/>
  <c r="E16" i="27"/>
  <c r="S15" i="27"/>
  <c r="L15" i="27"/>
  <c r="K15" i="27"/>
  <c r="J15" i="27"/>
  <c r="I15" i="27"/>
  <c r="H15" i="27"/>
  <c r="G15" i="27"/>
  <c r="D15" i="27"/>
  <c r="O15" i="27" s="1"/>
  <c r="O14" i="27"/>
  <c r="F14" i="27"/>
  <c r="M14" i="27" s="1"/>
  <c r="E14" i="27"/>
  <c r="O13" i="27"/>
  <c r="F13" i="27"/>
  <c r="R13" i="27" s="1"/>
  <c r="E13" i="27"/>
  <c r="O12" i="27"/>
  <c r="F12" i="27"/>
  <c r="U12" i="27" s="1"/>
  <c r="E12" i="27"/>
  <c r="O11" i="27"/>
  <c r="F11" i="27"/>
  <c r="T11" i="27" s="1"/>
  <c r="E11" i="27"/>
  <c r="S10" i="27"/>
  <c r="L10" i="27"/>
  <c r="K10" i="27"/>
  <c r="J10" i="27"/>
  <c r="I10" i="27"/>
  <c r="H10" i="27"/>
  <c r="H47" i="27" s="1"/>
  <c r="G10" i="27"/>
  <c r="D10" i="27"/>
  <c r="Z9" i="27"/>
  <c r="Y9" i="27"/>
  <c r="O9" i="27"/>
  <c r="F9" i="27"/>
  <c r="M9" i="27" s="1"/>
  <c r="E9" i="27"/>
  <c r="A9" i="27"/>
  <c r="Z7" i="27"/>
  <c r="Y7" i="27"/>
  <c r="O7" i="27"/>
  <c r="F7" i="27"/>
  <c r="R7" i="27" s="1"/>
  <c r="E7" i="27"/>
  <c r="C5" i="27"/>
  <c r="D5" i="27" s="1"/>
  <c r="F5" i="27" s="1"/>
  <c r="G5" i="27" s="1"/>
  <c r="H5" i="27" s="1"/>
  <c r="I5" i="27" s="1"/>
  <c r="J5" i="27" s="1"/>
  <c r="K5" i="27" s="1"/>
  <c r="M5" i="27" s="1"/>
  <c r="N5" i="27" s="1"/>
  <c r="O5" i="27" s="1"/>
  <c r="P5" i="27" s="1"/>
  <c r="Q5" i="27" s="1"/>
  <c r="R5" i="27" s="1"/>
  <c r="S5" i="27" s="1"/>
  <c r="T5" i="27" s="1"/>
  <c r="U5" i="27" s="1"/>
  <c r="M69" i="28" l="1"/>
  <c r="M19" i="28"/>
  <c r="N9" i="28"/>
  <c r="F53" i="28"/>
  <c r="P69" i="28"/>
  <c r="O97" i="28"/>
  <c r="R69" i="28"/>
  <c r="P19" i="28"/>
  <c r="T78" i="28"/>
  <c r="N78" i="28"/>
  <c r="M78" i="28"/>
  <c r="R78" i="28"/>
  <c r="Q78" i="28"/>
  <c r="U78" i="28"/>
  <c r="P78" i="28"/>
  <c r="G97" i="28"/>
  <c r="F98" i="28"/>
  <c r="H67" i="28"/>
  <c r="H96" i="28"/>
  <c r="H101" i="28" s="1"/>
  <c r="H111" i="28" s="1"/>
  <c r="O113" i="28"/>
  <c r="D92" i="28"/>
  <c r="G94" i="28"/>
  <c r="F46" i="28"/>
  <c r="E46" i="28"/>
  <c r="E94" i="28" s="1"/>
  <c r="J67" i="28"/>
  <c r="J96" i="28"/>
  <c r="J101" i="28" s="1"/>
  <c r="J111" i="28" s="1"/>
  <c r="U53" i="28"/>
  <c r="T53" i="28"/>
  <c r="N53" i="28"/>
  <c r="M53" i="28"/>
  <c r="R53" i="28"/>
  <c r="P53" i="28"/>
  <c r="Q53" i="28"/>
  <c r="R89" i="28"/>
  <c r="Q89" i="28"/>
  <c r="P89" i="28"/>
  <c r="M89" i="28"/>
  <c r="T89" i="28"/>
  <c r="O112" i="28"/>
  <c r="E96" i="28"/>
  <c r="K99" i="28"/>
  <c r="K97" i="28" s="1"/>
  <c r="K63" i="28"/>
  <c r="K60" i="28" s="1"/>
  <c r="P88" i="28"/>
  <c r="T88" i="28"/>
  <c r="N88" i="28"/>
  <c r="M88" i="28"/>
  <c r="Q88" i="28"/>
  <c r="R88" i="28"/>
  <c r="D94" i="28"/>
  <c r="G60" i="28"/>
  <c r="L67" i="28"/>
  <c r="AA67" i="28" s="1"/>
  <c r="Q84" i="28"/>
  <c r="P84" i="28"/>
  <c r="U84" i="28"/>
  <c r="T84" i="28"/>
  <c r="N84" i="28"/>
  <c r="R84" i="28"/>
  <c r="M84" i="28"/>
  <c r="D67" i="28"/>
  <c r="D96" i="28"/>
  <c r="S96" i="28"/>
  <c r="S67" i="28"/>
  <c r="X67" i="28" s="1"/>
  <c r="F65" i="28"/>
  <c r="S101" i="28"/>
  <c r="X101" i="28" s="1"/>
  <c r="G92" i="28"/>
  <c r="F92" i="28" s="1"/>
  <c r="O67" i="28"/>
  <c r="O101" i="28" s="1"/>
  <c r="O96" i="28"/>
  <c r="P9" i="27"/>
  <c r="N13" i="27"/>
  <c r="P14" i="27"/>
  <c r="Q16" i="27"/>
  <c r="P18" i="27"/>
  <c r="N26" i="27"/>
  <c r="P30" i="27"/>
  <c r="P37" i="27"/>
  <c r="M12" i="27"/>
  <c r="M16" i="27"/>
  <c r="Q12" i="27"/>
  <c r="R23" i="27"/>
  <c r="R12" i="27"/>
  <c r="Q13" i="27"/>
  <c r="U16" i="27"/>
  <c r="N25" i="27"/>
  <c r="R26" i="27"/>
  <c r="M36" i="27"/>
  <c r="P40" i="27"/>
  <c r="Q45" i="27"/>
  <c r="M13" i="27"/>
  <c r="P13" i="27"/>
  <c r="R16" i="27"/>
  <c r="U17" i="27"/>
  <c r="Q26" i="27"/>
  <c r="U13" i="27"/>
  <c r="R22" i="27"/>
  <c r="R45" i="27"/>
  <c r="P7" i="27"/>
  <c r="T9" i="27"/>
  <c r="N12" i="27"/>
  <c r="T13" i="27"/>
  <c r="R14" i="27"/>
  <c r="N18" i="27"/>
  <c r="T21" i="27"/>
  <c r="T23" i="27"/>
  <c r="R24" i="27"/>
  <c r="P25" i="27"/>
  <c r="Q30" i="27"/>
  <c r="R35" i="27"/>
  <c r="Q36" i="27"/>
  <c r="Q38" i="27"/>
  <c r="P39" i="27"/>
  <c r="M46" i="27"/>
  <c r="Q7" i="27"/>
  <c r="J47" i="27"/>
  <c r="L47" i="27"/>
  <c r="U21" i="27"/>
  <c r="T24" i="27"/>
  <c r="Q25" i="27"/>
  <c r="P28" i="27"/>
  <c r="Q33" i="27"/>
  <c r="Q39" i="27"/>
  <c r="T7" i="27"/>
  <c r="S47" i="27"/>
  <c r="X47" i="27" s="1"/>
  <c r="F20" i="27"/>
  <c r="N20" i="27" s="1"/>
  <c r="T25" i="27"/>
  <c r="Q28" i="27"/>
  <c r="R33" i="27"/>
  <c r="P36" i="27"/>
  <c r="U36" i="27"/>
  <c r="W36" i="27" s="1"/>
  <c r="R39" i="27"/>
  <c r="R46" i="27"/>
  <c r="M7" i="27"/>
  <c r="U25" i="27"/>
  <c r="R28" i="27"/>
  <c r="U7" i="27"/>
  <c r="E20" i="27"/>
  <c r="N7" i="27"/>
  <c r="Q9" i="27"/>
  <c r="U18" i="27"/>
  <c r="N21" i="27"/>
  <c r="M25" i="27"/>
  <c r="Y25" i="27"/>
  <c r="N36" i="27"/>
  <c r="E15" i="27"/>
  <c r="U34" i="27"/>
  <c r="R34" i="27"/>
  <c r="Q44" i="27"/>
  <c r="M44" i="27"/>
  <c r="N44" i="27"/>
  <c r="U44" i="27"/>
  <c r="M34" i="27"/>
  <c r="M41" i="27"/>
  <c r="P41" i="27"/>
  <c r="T41" i="27"/>
  <c r="R41" i="27"/>
  <c r="U43" i="27"/>
  <c r="N43" i="27"/>
  <c r="P43" i="27"/>
  <c r="T43" i="27"/>
  <c r="R43" i="27"/>
  <c r="Q43" i="27"/>
  <c r="T27" i="27"/>
  <c r="M27" i="27"/>
  <c r="R27" i="27"/>
  <c r="N27" i="27"/>
  <c r="P27" i="27"/>
  <c r="Q29" i="27"/>
  <c r="R29" i="27"/>
  <c r="N29" i="27"/>
  <c r="P29" i="27"/>
  <c r="U32" i="27"/>
  <c r="N32" i="27"/>
  <c r="M32" i="27"/>
  <c r="Q32" i="27"/>
  <c r="P32" i="27"/>
  <c r="N34" i="27"/>
  <c r="M43" i="27"/>
  <c r="D47" i="27"/>
  <c r="O10" i="27"/>
  <c r="K47" i="27"/>
  <c r="U11" i="27"/>
  <c r="N11" i="27"/>
  <c r="P11" i="27"/>
  <c r="R11" i="27"/>
  <c r="Q11" i="27"/>
  <c r="Y45" i="27"/>
  <c r="R17" i="27"/>
  <c r="T19" i="27"/>
  <c r="P19" i="27"/>
  <c r="U22" i="27"/>
  <c r="N22" i="27"/>
  <c r="Q22" i="27"/>
  <c r="X20" i="27"/>
  <c r="P22" i="27"/>
  <c r="M22" i="27"/>
  <c r="M29" i="27"/>
  <c r="T31" i="27"/>
  <c r="M31" i="27"/>
  <c r="Q31" i="27"/>
  <c r="P31" i="27"/>
  <c r="U31" i="27"/>
  <c r="R31" i="27"/>
  <c r="R44" i="27"/>
  <c r="P45" i="27"/>
  <c r="E10" i="27"/>
  <c r="M11" i="27"/>
  <c r="F15" i="27"/>
  <c r="M19" i="27"/>
  <c r="Q27" i="27"/>
  <c r="N31" i="27"/>
  <c r="R32" i="27"/>
  <c r="T34" i="27"/>
  <c r="R42" i="27"/>
  <c r="M42" i="27"/>
  <c r="P42" i="27"/>
  <c r="T42" i="27"/>
  <c r="Q42" i="27"/>
  <c r="T44" i="27"/>
  <c r="Q21" i="27"/>
  <c r="P21" i="27"/>
  <c r="P17" i="27"/>
  <c r="N17" i="27"/>
  <c r="Q17" i="27"/>
  <c r="M17" i="27"/>
  <c r="P44" i="27"/>
  <c r="P23" i="27"/>
  <c r="N23" i="27"/>
  <c r="U23" i="27"/>
  <c r="W23" i="27" s="1"/>
  <c r="T30" i="27"/>
  <c r="M30" i="27"/>
  <c r="T35" i="27"/>
  <c r="M35" i="27"/>
  <c r="Q37" i="27"/>
  <c r="R37" i="27"/>
  <c r="U37" i="27"/>
  <c r="F10" i="27"/>
  <c r="G47" i="27"/>
  <c r="M23" i="27"/>
  <c r="T28" i="27"/>
  <c r="N30" i="27"/>
  <c r="M33" i="27"/>
  <c r="U33" i="27"/>
  <c r="N35" i="27"/>
  <c r="M37" i="27"/>
  <c r="T40" i="27"/>
  <c r="M40" i="27"/>
  <c r="U40" i="27"/>
  <c r="W40" i="27" s="1"/>
  <c r="U9" i="27"/>
  <c r="N9" i="27"/>
  <c r="R9" i="27"/>
  <c r="I47" i="27"/>
  <c r="Q14" i="27"/>
  <c r="P24" i="27"/>
  <c r="Q24" i="27"/>
  <c r="U24" i="27"/>
  <c r="T26" i="27"/>
  <c r="M26" i="27"/>
  <c r="P26" i="27"/>
  <c r="N33" i="27"/>
  <c r="O34" i="27"/>
  <c r="P34" i="27" s="1"/>
  <c r="E34" i="27"/>
  <c r="T36" i="27"/>
  <c r="N37" i="27"/>
  <c r="T38" i="27"/>
  <c r="M38" i="27"/>
  <c r="U38" i="27"/>
  <c r="N40" i="27"/>
  <c r="U30" i="27"/>
  <c r="T33" i="27"/>
  <c r="U35" i="27"/>
  <c r="W35" i="27" s="1"/>
  <c r="Q46" i="27"/>
  <c r="P46" i="27"/>
  <c r="P12" i="27"/>
  <c r="T12" i="27"/>
  <c r="U14" i="27"/>
  <c r="N14" i="27"/>
  <c r="T14" i="27"/>
  <c r="X16" i="27"/>
  <c r="P16" i="27"/>
  <c r="T16" i="27"/>
  <c r="T39" i="27"/>
  <c r="M39" i="27"/>
  <c r="U39" i="27"/>
  <c r="R21" i="27"/>
  <c r="E101" i="28" l="1"/>
  <c r="E111" i="28" s="1"/>
  <c r="K96" i="28"/>
  <c r="K101" i="28" s="1"/>
  <c r="K111" i="28" s="1"/>
  <c r="K67" i="28"/>
  <c r="O115" i="28"/>
  <c r="O116" i="28" s="1"/>
  <c r="O114" i="28"/>
  <c r="F99" i="28"/>
  <c r="E67" i="28"/>
  <c r="Q46" i="28"/>
  <c r="P46" i="28"/>
  <c r="X44" i="28"/>
  <c r="Z44" i="28" s="1"/>
  <c r="U46" i="28"/>
  <c r="T46" i="28"/>
  <c r="N46" i="28"/>
  <c r="R46" i="28"/>
  <c r="M46" i="28"/>
  <c r="P65" i="28"/>
  <c r="U65" i="28"/>
  <c r="T65" i="28"/>
  <c r="N65" i="28"/>
  <c r="M65" i="28"/>
  <c r="Q65" i="28"/>
  <c r="R65" i="28"/>
  <c r="F63" i="28"/>
  <c r="G101" i="28"/>
  <c r="F94" i="28"/>
  <c r="M98" i="28"/>
  <c r="R98" i="28"/>
  <c r="Q98" i="28"/>
  <c r="P98" i="28"/>
  <c r="T98" i="28"/>
  <c r="N98" i="28"/>
  <c r="U98" i="28"/>
  <c r="G96" i="28"/>
  <c r="F96" i="28" s="1"/>
  <c r="G67" i="28"/>
  <c r="F67" i="28" s="1"/>
  <c r="F60" i="28"/>
  <c r="F97" i="28"/>
  <c r="T92" i="28"/>
  <c r="N92" i="28"/>
  <c r="M92" i="28"/>
  <c r="R92" i="28"/>
  <c r="Q92" i="28"/>
  <c r="U92" i="28"/>
  <c r="P92" i="28"/>
  <c r="D101" i="28"/>
  <c r="D111" i="28" s="1"/>
  <c r="Q20" i="27"/>
  <c r="T20" i="27"/>
  <c r="O47" i="27"/>
  <c r="U20" i="27"/>
  <c r="M20" i="27"/>
  <c r="P20" i="27"/>
  <c r="R20" i="27"/>
  <c r="E47" i="27"/>
  <c r="F47" i="27"/>
  <c r="M10" i="27"/>
  <c r="N10" i="27"/>
  <c r="P10" i="27"/>
  <c r="U10" i="27"/>
  <c r="T10" i="27"/>
  <c r="Q10" i="27"/>
  <c r="R10" i="27"/>
  <c r="Q34" i="27"/>
  <c r="U15" i="27"/>
  <c r="P15" i="27"/>
  <c r="N15" i="27"/>
  <c r="M15" i="27"/>
  <c r="T15" i="27"/>
  <c r="R15" i="27"/>
  <c r="Q15" i="27"/>
  <c r="U60" i="28" l="1"/>
  <c r="T60" i="28"/>
  <c r="N60" i="28"/>
  <c r="M60" i="28"/>
  <c r="R60" i="28"/>
  <c r="P60" i="28"/>
  <c r="Q60" i="28"/>
  <c r="P67" i="28"/>
  <c r="U67" i="28"/>
  <c r="T67" i="28"/>
  <c r="N67" i="28"/>
  <c r="M67" i="28"/>
  <c r="Q67" i="28"/>
  <c r="R67" i="28"/>
  <c r="M94" i="28"/>
  <c r="R94" i="28"/>
  <c r="Q94" i="28"/>
  <c r="P94" i="28"/>
  <c r="T94" i="28"/>
  <c r="N94" i="28"/>
  <c r="U94" i="28"/>
  <c r="M97" i="28"/>
  <c r="R97" i="28"/>
  <c r="Q97" i="28"/>
  <c r="P97" i="28"/>
  <c r="T97" i="28"/>
  <c r="N97" i="28"/>
  <c r="U97" i="28"/>
  <c r="M99" i="28"/>
  <c r="R99" i="28"/>
  <c r="Q99" i="28"/>
  <c r="P99" i="28"/>
  <c r="T99" i="28"/>
  <c r="N99" i="28"/>
  <c r="U99" i="28"/>
  <c r="M96" i="28"/>
  <c r="R96" i="28"/>
  <c r="Q96" i="28"/>
  <c r="P96" i="28"/>
  <c r="T96" i="28"/>
  <c r="N96" i="28"/>
  <c r="U96" i="28"/>
  <c r="F101" i="28"/>
  <c r="G111" i="28"/>
  <c r="P63" i="28"/>
  <c r="U63" i="28"/>
  <c r="T63" i="28"/>
  <c r="N63" i="28"/>
  <c r="M63" i="28"/>
  <c r="Q63" i="28"/>
  <c r="R63" i="28"/>
  <c r="M47" i="27"/>
  <c r="U47" i="27"/>
  <c r="R47" i="27"/>
  <c r="N47" i="27"/>
  <c r="X45" i="27"/>
  <c r="Z45" i="27" s="1"/>
  <c r="T47" i="27"/>
  <c r="Q47" i="27"/>
  <c r="P47" i="27"/>
  <c r="F111" i="28" l="1"/>
  <c r="M101" i="28"/>
  <c r="R101" i="28"/>
  <c r="Q101" i="28"/>
  <c r="P101" i="28"/>
  <c r="T101" i="28"/>
  <c r="N101" i="28"/>
  <c r="U101" i="28"/>
  <c r="W16" i="26" l="1"/>
  <c r="V16" i="26"/>
  <c r="U16" i="26"/>
  <c r="U20" i="26" l="1"/>
  <c r="S134" i="26" l="1"/>
  <c r="T134" i="26"/>
  <c r="Q134" i="26"/>
  <c r="P134" i="26"/>
  <c r="O134" i="26"/>
  <c r="N134" i="26"/>
  <c r="M134" i="26"/>
  <c r="L134" i="26"/>
  <c r="K134" i="26"/>
  <c r="F134" i="26"/>
  <c r="D134" i="26"/>
  <c r="S8" i="26"/>
  <c r="T8" i="26"/>
  <c r="R8" i="26"/>
  <c r="Q8" i="26"/>
  <c r="P8" i="26"/>
  <c r="O8" i="26"/>
  <c r="N8" i="26"/>
  <c r="M8" i="26"/>
  <c r="L8" i="26"/>
  <c r="K8" i="26"/>
  <c r="F8" i="26"/>
  <c r="D8" i="26"/>
  <c r="S103" i="26"/>
  <c r="N103" i="26"/>
  <c r="F103" i="26"/>
  <c r="Q103" i="26" s="1"/>
  <c r="F91" i="26"/>
  <c r="S91" i="26" s="1"/>
  <c r="R90" i="26"/>
  <c r="R89" i="26" s="1"/>
  <c r="K90" i="26"/>
  <c r="K89" i="26" s="1"/>
  <c r="J90" i="26"/>
  <c r="I90" i="26"/>
  <c r="I89" i="26" s="1"/>
  <c r="H90" i="26"/>
  <c r="H89" i="26" s="1"/>
  <c r="G90" i="26"/>
  <c r="F90" i="26"/>
  <c r="S90" i="26" s="1"/>
  <c r="E90" i="26"/>
  <c r="E89" i="26" s="1"/>
  <c r="D90" i="26"/>
  <c r="J89" i="26"/>
  <c r="G89" i="26"/>
  <c r="D89" i="26"/>
  <c r="N87" i="26"/>
  <c r="N90" i="26" s="1"/>
  <c r="N89" i="26" s="1"/>
  <c r="F87" i="26"/>
  <c r="S87" i="26" s="1"/>
  <c r="I83" i="26"/>
  <c r="P82" i="26"/>
  <c r="O82" i="26"/>
  <c r="N82" i="26"/>
  <c r="F82" i="26"/>
  <c r="Q82" i="26" s="1"/>
  <c r="N81" i="26"/>
  <c r="F81" i="26"/>
  <c r="Q81" i="26" s="1"/>
  <c r="N80" i="26"/>
  <c r="P80" i="26" s="1"/>
  <c r="M80" i="26"/>
  <c r="F80" i="26"/>
  <c r="Q80" i="26" s="1"/>
  <c r="T79" i="26"/>
  <c r="S79" i="26"/>
  <c r="N79" i="26"/>
  <c r="L79" i="26"/>
  <c r="F79" i="26"/>
  <c r="N78" i="26"/>
  <c r="N77" i="26" s="1"/>
  <c r="F78" i="26"/>
  <c r="L78" i="26" s="1"/>
  <c r="R77" i="26"/>
  <c r="K77" i="26"/>
  <c r="J77" i="26"/>
  <c r="I77" i="26"/>
  <c r="H77" i="26"/>
  <c r="G77" i="26"/>
  <c r="E77" i="26"/>
  <c r="D77" i="26"/>
  <c r="F76" i="26"/>
  <c r="O76" i="26" s="1"/>
  <c r="T75" i="26"/>
  <c r="N75" i="26"/>
  <c r="P75" i="26" s="1"/>
  <c r="M75" i="26"/>
  <c r="L75" i="26"/>
  <c r="F75" i="26"/>
  <c r="Q75" i="26" s="1"/>
  <c r="A75" i="26"/>
  <c r="A76" i="26" s="1"/>
  <c r="A77" i="26" s="1"/>
  <c r="N74" i="26"/>
  <c r="P74" i="26" s="1"/>
  <c r="L74" i="26"/>
  <c r="F74" i="26"/>
  <c r="S74" i="26" s="1"/>
  <c r="F73" i="26"/>
  <c r="S73" i="26" s="1"/>
  <c r="N72" i="26"/>
  <c r="F72" i="26"/>
  <c r="Q72" i="26" s="1"/>
  <c r="F71" i="26"/>
  <c r="S71" i="26" s="1"/>
  <c r="F70" i="26"/>
  <c r="T70" i="26" s="1"/>
  <c r="S69" i="26"/>
  <c r="N69" i="26"/>
  <c r="F69" i="26"/>
  <c r="Q69" i="26" s="1"/>
  <c r="R68" i="26"/>
  <c r="R83" i="26" s="1"/>
  <c r="K68" i="26"/>
  <c r="K83" i="26" s="1"/>
  <c r="J68" i="26"/>
  <c r="J83" i="26" s="1"/>
  <c r="J85" i="26" s="1"/>
  <c r="I68" i="26"/>
  <c r="H68" i="26"/>
  <c r="H83" i="26" s="1"/>
  <c r="G68" i="26"/>
  <c r="G83" i="26" s="1"/>
  <c r="D68" i="26"/>
  <c r="R64" i="26"/>
  <c r="R108" i="26" s="1"/>
  <c r="R63" i="26"/>
  <c r="K63" i="26"/>
  <c r="J63" i="26"/>
  <c r="J107" i="26" s="1"/>
  <c r="I63" i="26"/>
  <c r="H63" i="26"/>
  <c r="H107" i="26" s="1"/>
  <c r="G63" i="26"/>
  <c r="E63" i="26"/>
  <c r="D63" i="26"/>
  <c r="D107" i="26" s="1"/>
  <c r="R61" i="26"/>
  <c r="N61" i="26"/>
  <c r="K61" i="26"/>
  <c r="J61" i="26"/>
  <c r="I61" i="26"/>
  <c r="H61" i="26"/>
  <c r="G61" i="26"/>
  <c r="E61" i="26"/>
  <c r="D61" i="26"/>
  <c r="F58" i="26"/>
  <c r="S58" i="26" s="1"/>
  <c r="S57" i="26"/>
  <c r="N57" i="26"/>
  <c r="M57" i="26"/>
  <c r="F57" i="26"/>
  <c r="Q57" i="26" s="1"/>
  <c r="N56" i="26"/>
  <c r="F56" i="26"/>
  <c r="M56" i="26" s="1"/>
  <c r="T55" i="26"/>
  <c r="N55" i="26"/>
  <c r="J55" i="26"/>
  <c r="F55" i="26" s="1"/>
  <c r="Q55" i="26" s="1"/>
  <c r="N54" i="26"/>
  <c r="J54" i="26"/>
  <c r="R53" i="26"/>
  <c r="V53" i="26" s="1"/>
  <c r="K53" i="26"/>
  <c r="I53" i="26"/>
  <c r="H53" i="26"/>
  <c r="H64" i="26" s="1"/>
  <c r="H62" i="26" s="1"/>
  <c r="H59" i="26" s="1"/>
  <c r="G53" i="26"/>
  <c r="G64" i="26" s="1"/>
  <c r="E53" i="26"/>
  <c r="E64" i="26" s="1"/>
  <c r="E108" i="26" s="1"/>
  <c r="D53" i="26"/>
  <c r="D64" i="26" s="1"/>
  <c r="D108" i="26" s="1"/>
  <c r="N52" i="26"/>
  <c r="F52" i="26"/>
  <c r="T51" i="26"/>
  <c r="P51" i="26"/>
  <c r="N51" i="26"/>
  <c r="F51" i="26"/>
  <c r="S51" i="26" s="1"/>
  <c r="Q50" i="26"/>
  <c r="N50" i="26"/>
  <c r="F50" i="26"/>
  <c r="T50" i="26" s="1"/>
  <c r="N49" i="26"/>
  <c r="F49" i="26"/>
  <c r="M49" i="26" s="1"/>
  <c r="A49" i="26"/>
  <c r="A50" i="26" s="1"/>
  <c r="A51" i="26" s="1"/>
  <c r="A52" i="26" s="1"/>
  <c r="N48" i="26"/>
  <c r="N63" i="26" s="1"/>
  <c r="N107" i="26" s="1"/>
  <c r="F48" i="26"/>
  <c r="Q48" i="26" s="1"/>
  <c r="Y47" i="26"/>
  <c r="S46" i="26"/>
  <c r="Q46" i="26"/>
  <c r="O46" i="26"/>
  <c r="N46" i="26"/>
  <c r="L46" i="26"/>
  <c r="F46" i="26"/>
  <c r="P46" i="26" s="1"/>
  <c r="Q45" i="26"/>
  <c r="N45" i="26"/>
  <c r="F45" i="26"/>
  <c r="P45" i="26" s="1"/>
  <c r="Q44" i="26"/>
  <c r="N44" i="26"/>
  <c r="F44" i="26"/>
  <c r="T43" i="26"/>
  <c r="S43" i="26"/>
  <c r="P43" i="26"/>
  <c r="O43" i="26"/>
  <c r="N43" i="26"/>
  <c r="M43" i="26"/>
  <c r="L43" i="26"/>
  <c r="F43" i="26"/>
  <c r="Q43" i="26" s="1"/>
  <c r="O42" i="26"/>
  <c r="N42" i="26"/>
  <c r="F42" i="26"/>
  <c r="S41" i="26"/>
  <c r="Q41" i="26"/>
  <c r="N41" i="26"/>
  <c r="L41" i="26"/>
  <c r="F41" i="26"/>
  <c r="O41" i="26" s="1"/>
  <c r="A41" i="26"/>
  <c r="A42" i="26" s="1"/>
  <c r="A43" i="26" s="1"/>
  <c r="A44" i="26" s="1"/>
  <c r="A45" i="26" s="1"/>
  <c r="A46" i="26" s="1"/>
  <c r="Q40" i="26"/>
  <c r="N40" i="26"/>
  <c r="F40" i="26"/>
  <c r="A40" i="26"/>
  <c r="U39" i="26"/>
  <c r="T39" i="26"/>
  <c r="P39" i="26"/>
  <c r="N39" i="26"/>
  <c r="M39" i="26"/>
  <c r="F39" i="26"/>
  <c r="S39" i="26" s="1"/>
  <c r="T38" i="26"/>
  <c r="P38" i="26"/>
  <c r="N38" i="26"/>
  <c r="M38" i="26"/>
  <c r="F38" i="26"/>
  <c r="O38" i="26" s="1"/>
  <c r="T37" i="26"/>
  <c r="P37" i="26"/>
  <c r="N37" i="26"/>
  <c r="M37" i="26"/>
  <c r="F37" i="26"/>
  <c r="S37" i="26" s="1"/>
  <c r="Q36" i="26"/>
  <c r="N36" i="26"/>
  <c r="F36" i="26"/>
  <c r="T35" i="26"/>
  <c r="U35" i="26" s="1"/>
  <c r="S35" i="26"/>
  <c r="P35" i="26"/>
  <c r="O35" i="26"/>
  <c r="N35" i="26"/>
  <c r="M35" i="26"/>
  <c r="L35" i="26"/>
  <c r="F35" i="26"/>
  <c r="Q35" i="26" s="1"/>
  <c r="U34" i="26"/>
  <c r="R34" i="26"/>
  <c r="N34" i="26"/>
  <c r="K34" i="26"/>
  <c r="J34" i="26"/>
  <c r="I34" i="26"/>
  <c r="H34" i="26"/>
  <c r="F34" i="26" s="1"/>
  <c r="Q34" i="26" s="1"/>
  <c r="G34" i="26"/>
  <c r="E34" i="26"/>
  <c r="D34" i="26"/>
  <c r="T33" i="26"/>
  <c r="P33" i="26"/>
  <c r="N33" i="26"/>
  <c r="M33" i="26"/>
  <c r="F33" i="26"/>
  <c r="S33" i="26" s="1"/>
  <c r="Q32" i="26"/>
  <c r="N32" i="26"/>
  <c r="F32" i="26"/>
  <c r="T31" i="26"/>
  <c r="S31" i="26"/>
  <c r="P31" i="26"/>
  <c r="O31" i="26"/>
  <c r="N31" i="26"/>
  <c r="M31" i="26"/>
  <c r="L31" i="26"/>
  <c r="F31" i="26"/>
  <c r="Q31" i="26" s="1"/>
  <c r="U30" i="26"/>
  <c r="Q30" i="26"/>
  <c r="N30" i="26"/>
  <c r="F30" i="26"/>
  <c r="N29" i="26"/>
  <c r="F29" i="26"/>
  <c r="Q29" i="26" s="1"/>
  <c r="Q28" i="26"/>
  <c r="N28" i="26"/>
  <c r="O28" i="26" s="1"/>
  <c r="F28" i="26"/>
  <c r="L28" i="26" s="1"/>
  <c r="A28" i="26"/>
  <c r="A29" i="26" s="1"/>
  <c r="A30" i="26" s="1"/>
  <c r="A31" i="26" s="1"/>
  <c r="A32" i="26" s="1"/>
  <c r="A33" i="26" s="1"/>
  <c r="A34" i="26" s="1"/>
  <c r="Q27" i="26"/>
  <c r="N27" i="26"/>
  <c r="F27" i="26"/>
  <c r="A27" i="26"/>
  <c r="T26" i="26"/>
  <c r="U26" i="26" s="1"/>
  <c r="P26" i="26"/>
  <c r="N26" i="26"/>
  <c r="M26" i="26"/>
  <c r="F26" i="26"/>
  <c r="O26" i="26" s="1"/>
  <c r="N25" i="26"/>
  <c r="F25" i="26"/>
  <c r="N24" i="26"/>
  <c r="F24" i="26"/>
  <c r="T23" i="26"/>
  <c r="U23" i="26" s="1"/>
  <c r="P23" i="26"/>
  <c r="N23" i="26"/>
  <c r="M23" i="26"/>
  <c r="F23" i="26"/>
  <c r="O23" i="26" s="1"/>
  <c r="T22" i="26"/>
  <c r="P22" i="26"/>
  <c r="N22" i="26"/>
  <c r="M22" i="26"/>
  <c r="F22" i="26"/>
  <c r="S22" i="26" s="1"/>
  <c r="T21" i="26"/>
  <c r="P21" i="26"/>
  <c r="N21" i="26"/>
  <c r="M21" i="26"/>
  <c r="F21" i="26"/>
  <c r="W23" i="26" s="1"/>
  <c r="V20" i="26"/>
  <c r="R20" i="26"/>
  <c r="K20" i="26"/>
  <c r="J20" i="26"/>
  <c r="I20" i="26"/>
  <c r="H20" i="26"/>
  <c r="G20" i="26"/>
  <c r="E20" i="26"/>
  <c r="D20" i="26"/>
  <c r="N20" i="26" s="1"/>
  <c r="N19" i="26"/>
  <c r="F19" i="26"/>
  <c r="S19" i="26" s="1"/>
  <c r="T18" i="26"/>
  <c r="P18" i="26"/>
  <c r="N18" i="26"/>
  <c r="M18" i="26"/>
  <c r="F18" i="26"/>
  <c r="S18" i="26" s="1"/>
  <c r="T17" i="26"/>
  <c r="P17" i="26"/>
  <c r="N17" i="26"/>
  <c r="M17" i="26"/>
  <c r="F17" i="26"/>
  <c r="O17" i="26" s="1"/>
  <c r="T16" i="26"/>
  <c r="S16" i="26"/>
  <c r="P16" i="26"/>
  <c r="O16" i="26"/>
  <c r="N16" i="26"/>
  <c r="M16" i="26"/>
  <c r="L16" i="26"/>
  <c r="F16" i="26"/>
  <c r="Q16" i="26" s="1"/>
  <c r="S15" i="26"/>
  <c r="R15" i="26"/>
  <c r="K15" i="26"/>
  <c r="J15" i="26"/>
  <c r="J47" i="26" s="1"/>
  <c r="I15" i="26"/>
  <c r="H15" i="26"/>
  <c r="G15" i="26"/>
  <c r="F15" i="26" s="1"/>
  <c r="M15" i="26" s="1"/>
  <c r="E15" i="26"/>
  <c r="D15" i="26"/>
  <c r="N15" i="26" s="1"/>
  <c r="Q14" i="26"/>
  <c r="N14" i="26"/>
  <c r="F14" i="26"/>
  <c r="Q13" i="26"/>
  <c r="N13" i="26"/>
  <c r="F13" i="26"/>
  <c r="N12" i="26"/>
  <c r="F12" i="26"/>
  <c r="Q12" i="26" s="1"/>
  <c r="N11" i="26"/>
  <c r="F11" i="26"/>
  <c r="O11" i="26" s="1"/>
  <c r="R10" i="26"/>
  <c r="R47" i="26" s="1"/>
  <c r="W45" i="26" s="1"/>
  <c r="K10" i="26"/>
  <c r="J10" i="26"/>
  <c r="I10" i="26"/>
  <c r="I47" i="26" s="1"/>
  <c r="H10" i="26"/>
  <c r="H47" i="26" s="1"/>
  <c r="G10" i="26"/>
  <c r="F10" i="26" s="1"/>
  <c r="E10" i="26"/>
  <c r="D10" i="26"/>
  <c r="X9" i="26"/>
  <c r="W9" i="26"/>
  <c r="T9" i="26"/>
  <c r="S9" i="26"/>
  <c r="O9" i="26"/>
  <c r="N9" i="26"/>
  <c r="M9" i="26"/>
  <c r="L9" i="26"/>
  <c r="F9" i="26"/>
  <c r="Q9" i="26" s="1"/>
  <c r="A9" i="26"/>
  <c r="X7" i="26"/>
  <c r="W7" i="26"/>
  <c r="T7" i="26"/>
  <c r="S7" i="26"/>
  <c r="O7" i="26"/>
  <c r="N7" i="26"/>
  <c r="M7" i="26"/>
  <c r="L7" i="26"/>
  <c r="F7" i="26"/>
  <c r="Q7" i="26" s="1"/>
  <c r="G5" i="26"/>
  <c r="H5" i="26" s="1"/>
  <c r="I5" i="26" s="1"/>
  <c r="J5" i="26" s="1"/>
  <c r="L5" i="26" s="1"/>
  <c r="M5" i="26" s="1"/>
  <c r="N5" i="26" s="1"/>
  <c r="O5" i="26" s="1"/>
  <c r="P5" i="26" s="1"/>
  <c r="Q5" i="26" s="1"/>
  <c r="R5" i="26" s="1"/>
  <c r="S5" i="26" s="1"/>
  <c r="T5" i="26" s="1"/>
  <c r="C5" i="26"/>
  <c r="D5" i="26" s="1"/>
  <c r="E5" i="26" s="1"/>
  <c r="K85" i="26" l="1"/>
  <c r="K93" i="26"/>
  <c r="K95" i="26" s="1"/>
  <c r="M48" i="26"/>
  <c r="M72" i="26"/>
  <c r="O74" i="26"/>
  <c r="L76" i="26"/>
  <c r="O80" i="26"/>
  <c r="L87" i="26"/>
  <c r="M51" i="26"/>
  <c r="M55" i="26"/>
  <c r="P56" i="26"/>
  <c r="F61" i="26"/>
  <c r="M61" i="26" s="1"/>
  <c r="L73" i="26"/>
  <c r="O75" i="26"/>
  <c r="S76" i="26"/>
  <c r="O78" i="26"/>
  <c r="L82" i="26"/>
  <c r="T82" i="26"/>
  <c r="L91" i="26"/>
  <c r="M103" i="26"/>
  <c r="O48" i="26"/>
  <c r="P49" i="26"/>
  <c r="L58" i="26"/>
  <c r="R107" i="26"/>
  <c r="R106" i="26" s="1"/>
  <c r="L69" i="26"/>
  <c r="O71" i="26"/>
  <c r="O72" i="26"/>
  <c r="O73" i="26"/>
  <c r="Q78" i="26"/>
  <c r="S80" i="26"/>
  <c r="O81" i="26"/>
  <c r="M82" i="26"/>
  <c r="O87" i="26"/>
  <c r="O91" i="26"/>
  <c r="O103" i="26"/>
  <c r="S48" i="26"/>
  <c r="O51" i="26"/>
  <c r="L57" i="26"/>
  <c r="O58" i="26"/>
  <c r="G107" i="26"/>
  <c r="P72" i="26"/>
  <c r="S75" i="26"/>
  <c r="O79" i="26"/>
  <c r="L80" i="26"/>
  <c r="T80" i="26"/>
  <c r="P81" i="26"/>
  <c r="P87" i="26"/>
  <c r="P103" i="26"/>
  <c r="S72" i="26"/>
  <c r="S81" i="26"/>
  <c r="L72" i="26"/>
  <c r="T72" i="26"/>
  <c r="F77" i="26"/>
  <c r="Q77" i="26" s="1"/>
  <c r="L81" i="26"/>
  <c r="T81" i="26"/>
  <c r="T103" i="26"/>
  <c r="T48" i="26"/>
  <c r="L48" i="26"/>
  <c r="F68" i="26"/>
  <c r="S68" i="26" s="1"/>
  <c r="M81" i="26"/>
  <c r="S82" i="26"/>
  <c r="L103" i="26"/>
  <c r="Q10" i="26"/>
  <c r="T10" i="26"/>
  <c r="S10" i="26"/>
  <c r="M10" i="26"/>
  <c r="L10" i="26"/>
  <c r="J97" i="26"/>
  <c r="J99" i="26"/>
  <c r="J101" i="26" s="1"/>
  <c r="H66" i="26"/>
  <c r="H105" i="26"/>
  <c r="N47" i="26"/>
  <c r="F20" i="26"/>
  <c r="P36" i="26"/>
  <c r="O36" i="26"/>
  <c r="T36" i="26"/>
  <c r="U36" i="26" s="1"/>
  <c r="M36" i="26"/>
  <c r="S36" i="26"/>
  <c r="L36" i="26"/>
  <c r="V47" i="26"/>
  <c r="T25" i="26"/>
  <c r="M25" i="26"/>
  <c r="S25" i="26"/>
  <c r="L25" i="26"/>
  <c r="P25" i="26"/>
  <c r="O25" i="26"/>
  <c r="R85" i="26"/>
  <c r="R99" i="26" s="1"/>
  <c r="R101" i="26" s="1"/>
  <c r="R93" i="26"/>
  <c r="G47" i="26"/>
  <c r="T13" i="26"/>
  <c r="M13" i="26"/>
  <c r="S13" i="26"/>
  <c r="L13" i="26"/>
  <c r="P13" i="26"/>
  <c r="O13" i="26"/>
  <c r="Q25" i="26"/>
  <c r="T30" i="26"/>
  <c r="M30" i="26"/>
  <c r="S30" i="26"/>
  <c r="L30" i="26"/>
  <c r="P30" i="26"/>
  <c r="O30" i="26"/>
  <c r="P32" i="26"/>
  <c r="O32" i="26"/>
  <c r="T32" i="26"/>
  <c r="M32" i="26"/>
  <c r="S32" i="26"/>
  <c r="L32" i="26"/>
  <c r="S34" i="26"/>
  <c r="M34" i="26"/>
  <c r="L34" i="26"/>
  <c r="P34" i="26"/>
  <c r="O34" i="26"/>
  <c r="L42" i="26"/>
  <c r="Q42" i="26"/>
  <c r="P42" i="26"/>
  <c r="T44" i="26"/>
  <c r="M44" i="26"/>
  <c r="S44" i="26"/>
  <c r="L44" i="26"/>
  <c r="P44" i="26"/>
  <c r="O44" i="26"/>
  <c r="H85" i="26"/>
  <c r="H99" i="26" s="1"/>
  <c r="H101" i="26" s="1"/>
  <c r="H93" i="26"/>
  <c r="H95" i="26" s="1"/>
  <c r="T11" i="26"/>
  <c r="M11" i="26"/>
  <c r="S11" i="26"/>
  <c r="L11" i="26"/>
  <c r="P11" i="26"/>
  <c r="H97" i="26"/>
  <c r="Q11" i="26"/>
  <c r="P24" i="26"/>
  <c r="O24" i="26"/>
  <c r="T24" i="26"/>
  <c r="M24" i="26"/>
  <c r="L24" i="26"/>
  <c r="S24" i="26"/>
  <c r="W25" i="26"/>
  <c r="T34" i="26"/>
  <c r="S61" i="26"/>
  <c r="I97" i="26"/>
  <c r="R97" i="26"/>
  <c r="P12" i="26"/>
  <c r="O12" i="26"/>
  <c r="T12" i="26"/>
  <c r="M12" i="26"/>
  <c r="S12" i="26"/>
  <c r="L15" i="26"/>
  <c r="Q15" i="26"/>
  <c r="O15" i="26"/>
  <c r="T15" i="26"/>
  <c r="P15" i="26"/>
  <c r="P27" i="26"/>
  <c r="O27" i="26"/>
  <c r="T27" i="26"/>
  <c r="M27" i="26"/>
  <c r="S27" i="26"/>
  <c r="L27" i="26"/>
  <c r="T40" i="26"/>
  <c r="U40" i="26" s="1"/>
  <c r="M40" i="26"/>
  <c r="S40" i="26"/>
  <c r="L40" i="26"/>
  <c r="P40" i="26"/>
  <c r="O40" i="26"/>
  <c r="H108" i="26"/>
  <c r="D47" i="26"/>
  <c r="L12" i="26"/>
  <c r="P14" i="26"/>
  <c r="O14" i="26"/>
  <c r="T14" i="26"/>
  <c r="M14" i="26"/>
  <c r="S14" i="26"/>
  <c r="L14" i="26"/>
  <c r="Q24" i="26"/>
  <c r="P29" i="26"/>
  <c r="O29" i="26"/>
  <c r="M29" i="26"/>
  <c r="S29" i="26"/>
  <c r="L29" i="26"/>
  <c r="S42" i="26"/>
  <c r="O52" i="26"/>
  <c r="L52" i="26"/>
  <c r="S52" i="26"/>
  <c r="E107" i="26"/>
  <c r="E106" i="26" s="1"/>
  <c r="E62" i="26"/>
  <c r="E59" i="26" s="1"/>
  <c r="O77" i="26"/>
  <c r="M77" i="26"/>
  <c r="L77" i="26"/>
  <c r="Q17" i="26"/>
  <c r="Q23" i="26"/>
  <c r="Q38" i="26"/>
  <c r="S45" i="26"/>
  <c r="P57" i="26"/>
  <c r="O57" i="26"/>
  <c r="F107" i="26"/>
  <c r="F89" i="26"/>
  <c r="Q21" i="26"/>
  <c r="Q26" i="26"/>
  <c r="N10" i="26"/>
  <c r="P10" i="26" s="1"/>
  <c r="L17" i="26"/>
  <c r="S17" i="26"/>
  <c r="O18" i="26"/>
  <c r="L19" i="26"/>
  <c r="L21" i="26"/>
  <c r="S21" i="26"/>
  <c r="O22" i="26"/>
  <c r="L23" i="26"/>
  <c r="S23" i="26"/>
  <c r="L26" i="26"/>
  <c r="S26" i="26"/>
  <c r="P28" i="26"/>
  <c r="O33" i="26"/>
  <c r="O37" i="26"/>
  <c r="L38" i="26"/>
  <c r="S38" i="26"/>
  <c r="O39" i="26"/>
  <c r="L45" i="26"/>
  <c r="G62" i="26"/>
  <c r="G108" i="26"/>
  <c r="G106" i="26" s="1"/>
  <c r="P55" i="26"/>
  <c r="O55" i="26"/>
  <c r="S55" i="26"/>
  <c r="L55" i="26"/>
  <c r="J93" i="26"/>
  <c r="J95" i="26" s="1"/>
  <c r="F63" i="26"/>
  <c r="I107" i="26"/>
  <c r="N68" i="26"/>
  <c r="N83" i="26" s="1"/>
  <c r="O69" i="26"/>
  <c r="P7" i="26"/>
  <c r="P9" i="26"/>
  <c r="Q18" i="26"/>
  <c r="O19" i="26"/>
  <c r="Q22" i="26"/>
  <c r="S28" i="26"/>
  <c r="Q33" i="26"/>
  <c r="Q37" i="26"/>
  <c r="Q39" i="26"/>
  <c r="O45" i="26"/>
  <c r="P50" i="26"/>
  <c r="O50" i="26"/>
  <c r="S50" i="26"/>
  <c r="L50" i="26"/>
  <c r="I64" i="26"/>
  <c r="I108" i="26" s="1"/>
  <c r="F54" i="26"/>
  <c r="J53" i="26"/>
  <c r="J64" i="26" s="1"/>
  <c r="T68" i="26"/>
  <c r="Q68" i="26"/>
  <c r="H106" i="26"/>
  <c r="D83" i="26"/>
  <c r="E68" i="26"/>
  <c r="E83" i="26" s="1"/>
  <c r="E47" i="26"/>
  <c r="K47" i="26"/>
  <c r="L18" i="26"/>
  <c r="O21" i="26"/>
  <c r="L22" i="26"/>
  <c r="L33" i="26"/>
  <c r="L37" i="26"/>
  <c r="L39" i="26"/>
  <c r="M50" i="26"/>
  <c r="N53" i="26"/>
  <c r="N64" i="26" s="1"/>
  <c r="K64" i="26"/>
  <c r="K108" i="26" s="1"/>
  <c r="D62" i="26"/>
  <c r="D59" i="26" s="1"/>
  <c r="D106" i="26"/>
  <c r="K107" i="26"/>
  <c r="K106" i="26" s="1"/>
  <c r="G85" i="26"/>
  <c r="F83" i="26"/>
  <c r="G93" i="26"/>
  <c r="S70" i="26"/>
  <c r="O70" i="26"/>
  <c r="L70" i="26"/>
  <c r="I85" i="26"/>
  <c r="I99" i="26" s="1"/>
  <c r="I101" i="26" s="1"/>
  <c r="I93" i="26"/>
  <c r="I95" i="26" s="1"/>
  <c r="Q90" i="26"/>
  <c r="P90" i="26"/>
  <c r="O90" i="26"/>
  <c r="L90" i="26"/>
  <c r="O49" i="26"/>
  <c r="O56" i="26"/>
  <c r="M69" i="26"/>
  <c r="T69" i="26"/>
  <c r="P78" i="26"/>
  <c r="Q49" i="26"/>
  <c r="Q56" i="26"/>
  <c r="S78" i="26"/>
  <c r="P48" i="26"/>
  <c r="L49" i="26"/>
  <c r="S49" i="26"/>
  <c r="Q51" i="26"/>
  <c r="L56" i="26"/>
  <c r="S56" i="26"/>
  <c r="R62" i="26"/>
  <c r="R59" i="26" s="1"/>
  <c r="P69" i="26"/>
  <c r="Q74" i="26"/>
  <c r="Q87" i="26"/>
  <c r="L51" i="26"/>
  <c r="O61" i="26" l="1"/>
  <c r="L68" i="26"/>
  <c r="S77" i="26"/>
  <c r="P61" i="26"/>
  <c r="H110" i="26"/>
  <c r="H122" i="26" s="1"/>
  <c r="Q61" i="26"/>
  <c r="M68" i="26"/>
  <c r="P77" i="26"/>
  <c r="L61" i="26"/>
  <c r="P68" i="26"/>
  <c r="T77" i="26"/>
  <c r="N108" i="26"/>
  <c r="N106" i="26" s="1"/>
  <c r="N62" i="26"/>
  <c r="N59" i="26" s="1"/>
  <c r="G97" i="26"/>
  <c r="G99" i="26"/>
  <c r="F47" i="26"/>
  <c r="R66" i="26"/>
  <c r="R105" i="26"/>
  <c r="R110" i="26" s="1"/>
  <c r="V110" i="26" s="1"/>
  <c r="O10" i="26"/>
  <c r="G59" i="26"/>
  <c r="E97" i="26"/>
  <c r="V93" i="26"/>
  <c r="R95" i="26"/>
  <c r="G95" i="26"/>
  <c r="F95" i="26" s="1"/>
  <c r="F93" i="26"/>
  <c r="D66" i="26"/>
  <c r="D105" i="26"/>
  <c r="E85" i="26"/>
  <c r="E99" i="26" s="1"/>
  <c r="E101" i="26" s="1"/>
  <c r="E93" i="26"/>
  <c r="E95" i="26" s="1"/>
  <c r="F53" i="26"/>
  <c r="I62" i="26"/>
  <c r="I59" i="26" s="1"/>
  <c r="E105" i="26"/>
  <c r="E66" i="26"/>
  <c r="H112" i="26"/>
  <c r="J108" i="26"/>
  <c r="J106" i="26" s="1"/>
  <c r="J62" i="26"/>
  <c r="J59" i="26" s="1"/>
  <c r="S107" i="26"/>
  <c r="M107" i="26"/>
  <c r="L107" i="26"/>
  <c r="Q107" i="26"/>
  <c r="P107" i="26"/>
  <c r="O107" i="26"/>
  <c r="T107" i="26"/>
  <c r="N97" i="26"/>
  <c r="T54" i="26"/>
  <c r="M54" i="26"/>
  <c r="S54" i="26"/>
  <c r="L54" i="26"/>
  <c r="P54" i="26"/>
  <c r="Q54" i="26"/>
  <c r="O54" i="26"/>
  <c r="T83" i="26"/>
  <c r="S83" i="26"/>
  <c r="M83" i="26"/>
  <c r="L83" i="26"/>
  <c r="Q83" i="26"/>
  <c r="P83" i="26"/>
  <c r="O83" i="26"/>
  <c r="D97" i="26"/>
  <c r="N122" i="26"/>
  <c r="N123" i="26" s="1"/>
  <c r="K97" i="26"/>
  <c r="K99" i="26"/>
  <c r="K101" i="26" s="1"/>
  <c r="N85" i="26"/>
  <c r="N99" i="26" s="1"/>
  <c r="N101" i="26" s="1"/>
  <c r="N93" i="26"/>
  <c r="D93" i="26"/>
  <c r="D95" i="26" s="1"/>
  <c r="N124" i="26"/>
  <c r="D85" i="26"/>
  <c r="D99" i="26" s="1"/>
  <c r="D101" i="26" s="1"/>
  <c r="F64" i="26"/>
  <c r="I106" i="26"/>
  <c r="F106" i="26" s="1"/>
  <c r="F85" i="26"/>
  <c r="O68" i="26"/>
  <c r="T63" i="26"/>
  <c r="S63" i="26"/>
  <c r="M63" i="26"/>
  <c r="L63" i="26"/>
  <c r="P63" i="26"/>
  <c r="Q63" i="26"/>
  <c r="O63" i="26"/>
  <c r="K62" i="26"/>
  <c r="K59" i="26" s="1"/>
  <c r="O89" i="26"/>
  <c r="S89" i="26"/>
  <c r="M89" i="26"/>
  <c r="L89" i="26"/>
  <c r="Q89" i="26"/>
  <c r="P89" i="26"/>
  <c r="O20" i="26"/>
  <c r="T20" i="26"/>
  <c r="L20" i="26"/>
  <c r="Q20" i="26"/>
  <c r="S20" i="26"/>
  <c r="M20" i="26"/>
  <c r="P20" i="26"/>
  <c r="F108" i="26" l="1"/>
  <c r="L108" i="26" s="1"/>
  <c r="L106" i="26"/>
  <c r="Q106" i="26"/>
  <c r="P106" i="26"/>
  <c r="O106" i="26"/>
  <c r="T106" i="26"/>
  <c r="S106" i="26"/>
  <c r="M106" i="26"/>
  <c r="N126" i="26"/>
  <c r="N127" i="26" s="1"/>
  <c r="N125" i="26"/>
  <c r="V66" i="26"/>
  <c r="R112" i="26"/>
  <c r="D112" i="26"/>
  <c r="E112" i="26" s="1"/>
  <c r="E110" i="26"/>
  <c r="E122" i="26" s="1"/>
  <c r="K105" i="26"/>
  <c r="K110" i="26" s="1"/>
  <c r="K122" i="26" s="1"/>
  <c r="K66" i="26"/>
  <c r="N95" i="26"/>
  <c r="O95" i="26" s="1"/>
  <c r="D110" i="26"/>
  <c r="D122" i="26" s="1"/>
  <c r="I66" i="26"/>
  <c r="I112" i="26" s="1"/>
  <c r="I105" i="26"/>
  <c r="I110" i="26" s="1"/>
  <c r="I122" i="26" s="1"/>
  <c r="P93" i="26"/>
  <c r="O93" i="26"/>
  <c r="T93" i="26"/>
  <c r="S93" i="26"/>
  <c r="M93" i="26"/>
  <c r="L93" i="26"/>
  <c r="Q93" i="26"/>
  <c r="G105" i="26"/>
  <c r="G110" i="26" s="1"/>
  <c r="F59" i="26"/>
  <c r="G66" i="26"/>
  <c r="G101" i="26"/>
  <c r="F101" i="26" s="1"/>
  <c r="F99" i="26"/>
  <c r="O64" i="26"/>
  <c r="T64" i="26"/>
  <c r="S64" i="26"/>
  <c r="M64" i="26"/>
  <c r="Q64" i="26"/>
  <c r="P64" i="26"/>
  <c r="L64" i="26"/>
  <c r="J66" i="26"/>
  <c r="J112" i="26" s="1"/>
  <c r="J105" i="26"/>
  <c r="J110" i="26" s="1"/>
  <c r="J122" i="26" s="1"/>
  <c r="T53" i="26"/>
  <c r="S53" i="26"/>
  <c r="M53" i="26"/>
  <c r="L53" i="26"/>
  <c r="P53" i="26"/>
  <c r="Q53" i="26"/>
  <c r="O53" i="26"/>
  <c r="P95" i="26"/>
  <c r="T95" i="26"/>
  <c r="S95" i="26"/>
  <c r="M95" i="26"/>
  <c r="L95" i="26"/>
  <c r="Q95" i="26"/>
  <c r="F62" i="26"/>
  <c r="F97" i="26"/>
  <c r="M108" i="26"/>
  <c r="Q47" i="26"/>
  <c r="P47" i="26"/>
  <c r="S47" i="26"/>
  <c r="M47" i="26"/>
  <c r="L47" i="26"/>
  <c r="T47" i="26"/>
  <c r="V45" i="26"/>
  <c r="X45" i="26" s="1"/>
  <c r="O47" i="26"/>
  <c r="N66" i="26"/>
  <c r="N112" i="26" s="1"/>
  <c r="N105" i="26"/>
  <c r="O85" i="26"/>
  <c r="T85" i="26"/>
  <c r="S85" i="26"/>
  <c r="M85" i="26"/>
  <c r="L85" i="26"/>
  <c r="Q85" i="26"/>
  <c r="P85" i="26"/>
  <c r="S108" i="26" l="1"/>
  <c r="O108" i="26"/>
  <c r="T108" i="26"/>
  <c r="P108" i="26"/>
  <c r="Q108" i="26"/>
  <c r="G122" i="26"/>
  <c r="F110" i="26"/>
  <c r="Y66" i="26"/>
  <c r="K112" i="26"/>
  <c r="S62" i="26"/>
  <c r="M62" i="26"/>
  <c r="L62" i="26"/>
  <c r="Q62" i="26"/>
  <c r="O62" i="26"/>
  <c r="T62" i="26"/>
  <c r="P62" i="26"/>
  <c r="L99" i="26"/>
  <c r="Q99" i="26"/>
  <c r="P99" i="26"/>
  <c r="O99" i="26"/>
  <c r="T99" i="26"/>
  <c r="S99" i="26"/>
  <c r="M99" i="26"/>
  <c r="S101" i="26"/>
  <c r="M101" i="26"/>
  <c r="L101" i="26"/>
  <c r="Q101" i="26"/>
  <c r="P101" i="26"/>
  <c r="O101" i="26"/>
  <c r="T101" i="26"/>
  <c r="G112" i="26"/>
  <c r="F112" i="26" s="1"/>
  <c r="F66" i="26"/>
  <c r="P59" i="26"/>
  <c r="O59" i="26"/>
  <c r="T59" i="26"/>
  <c r="L59" i="26"/>
  <c r="S59" i="26"/>
  <c r="Q59" i="26"/>
  <c r="M59" i="26"/>
  <c r="Q97" i="26"/>
  <c r="P97" i="26"/>
  <c r="O97" i="26"/>
  <c r="T97" i="26"/>
  <c r="S97" i="26"/>
  <c r="M97" i="26"/>
  <c r="L97" i="26"/>
  <c r="F105" i="26"/>
  <c r="N110" i="26"/>
  <c r="P66" i="26" l="1"/>
  <c r="O66" i="26"/>
  <c r="T66" i="26"/>
  <c r="L66" i="26"/>
  <c r="S66" i="26"/>
  <c r="Q66" i="26"/>
  <c r="M66" i="26"/>
  <c r="O112" i="26"/>
  <c r="T112" i="26"/>
  <c r="S112" i="26"/>
  <c r="M112" i="26"/>
  <c r="L112" i="26"/>
  <c r="Q112" i="26"/>
  <c r="P112" i="26"/>
  <c r="O110" i="26"/>
  <c r="T110" i="26"/>
  <c r="S110" i="26"/>
  <c r="M110" i="26"/>
  <c r="L110" i="26"/>
  <c r="F122" i="26"/>
  <c r="Q110" i="26"/>
  <c r="P110" i="26"/>
  <c r="Q105" i="26"/>
  <c r="P105" i="26"/>
  <c r="O105" i="26"/>
  <c r="T105" i="26"/>
  <c r="S105" i="26"/>
  <c r="M105" i="26"/>
  <c r="L105" i="26"/>
  <c r="S48" i="25" l="1"/>
  <c r="Q48" i="25"/>
  <c r="R48" i="25"/>
  <c r="P48" i="25"/>
  <c r="O48" i="25"/>
  <c r="N48" i="25"/>
  <c r="M48" i="25"/>
  <c r="L48" i="25"/>
  <c r="K48" i="25"/>
  <c r="J48" i="25"/>
  <c r="I48" i="25"/>
  <c r="H48" i="25"/>
  <c r="G48" i="25"/>
  <c r="F48" i="25"/>
  <c r="D48" i="25"/>
  <c r="R8" i="25"/>
  <c r="S8" i="25"/>
  <c r="Q8" i="25"/>
  <c r="N8" i="25"/>
  <c r="M8" i="25"/>
  <c r="L8" i="25"/>
  <c r="K8" i="25"/>
  <c r="F8" i="25"/>
  <c r="P8" i="25" s="1"/>
  <c r="A9" i="25"/>
  <c r="X47" i="25"/>
  <c r="M46" i="25"/>
  <c r="F46" i="25"/>
  <c r="R46" i="25" s="1"/>
  <c r="M45" i="25"/>
  <c r="F45" i="25"/>
  <c r="P45" i="25" s="1"/>
  <c r="M44" i="25"/>
  <c r="F44" i="25"/>
  <c r="S44" i="25" s="1"/>
  <c r="S43" i="25"/>
  <c r="M43" i="25"/>
  <c r="F43" i="25"/>
  <c r="R43" i="25" s="1"/>
  <c r="M42" i="25"/>
  <c r="F42" i="25"/>
  <c r="N42" i="25" s="1"/>
  <c r="M41" i="25"/>
  <c r="F41" i="25"/>
  <c r="P41" i="25" s="1"/>
  <c r="M40" i="25"/>
  <c r="F40" i="25"/>
  <c r="S40" i="25" s="1"/>
  <c r="T40" i="25" s="1"/>
  <c r="A40" i="25"/>
  <c r="A41" i="25" s="1"/>
  <c r="A42" i="25" s="1"/>
  <c r="A43" i="25" s="1"/>
  <c r="A44" i="25" s="1"/>
  <c r="A45" i="25" s="1"/>
  <c r="A46" i="25" s="1"/>
  <c r="M39" i="25"/>
  <c r="F39" i="25"/>
  <c r="R39" i="25" s="1"/>
  <c r="M38" i="25"/>
  <c r="F38" i="25"/>
  <c r="N38" i="25" s="1"/>
  <c r="M37" i="25"/>
  <c r="F37" i="25"/>
  <c r="R37" i="25" s="1"/>
  <c r="M36" i="25"/>
  <c r="F36" i="25"/>
  <c r="O36" i="25" s="1"/>
  <c r="M35" i="25"/>
  <c r="F35" i="25"/>
  <c r="S35" i="25" s="1"/>
  <c r="T35" i="25" s="1"/>
  <c r="Q34" i="25"/>
  <c r="J34" i="25"/>
  <c r="I34" i="25"/>
  <c r="H34" i="25"/>
  <c r="G34" i="25"/>
  <c r="F34" i="25"/>
  <c r="K34" i="25" s="1"/>
  <c r="E34" i="25"/>
  <c r="D34" i="25"/>
  <c r="M34" i="25" s="1"/>
  <c r="M33" i="25"/>
  <c r="F33" i="25"/>
  <c r="O33" i="25" s="1"/>
  <c r="M32" i="25"/>
  <c r="N32" i="25" s="1"/>
  <c r="F32" i="25"/>
  <c r="S32" i="25" s="1"/>
  <c r="M31" i="25"/>
  <c r="F31" i="25"/>
  <c r="R31" i="25" s="1"/>
  <c r="M30" i="25"/>
  <c r="F30" i="25"/>
  <c r="P30" i="25" s="1"/>
  <c r="M29" i="25"/>
  <c r="F29" i="25"/>
  <c r="L29" i="25" s="1"/>
  <c r="M28" i="25"/>
  <c r="F28" i="25"/>
  <c r="P28" i="25" s="1"/>
  <c r="M27" i="25"/>
  <c r="F27" i="25"/>
  <c r="S27" i="25" s="1"/>
  <c r="A27" i="25"/>
  <c r="A28" i="25" s="1"/>
  <c r="A29" i="25" s="1"/>
  <c r="A30" i="25" s="1"/>
  <c r="A31" i="25" s="1"/>
  <c r="A32" i="25" s="1"/>
  <c r="A33" i="25" s="1"/>
  <c r="A34" i="25" s="1"/>
  <c r="M26" i="25"/>
  <c r="F26" i="25"/>
  <c r="S26" i="25" s="1"/>
  <c r="T26" i="25" s="1"/>
  <c r="R25" i="25"/>
  <c r="M25" i="25"/>
  <c r="N25" i="25" s="1"/>
  <c r="L25" i="25"/>
  <c r="K25" i="25"/>
  <c r="F25" i="25"/>
  <c r="P25" i="25" s="1"/>
  <c r="M24" i="25"/>
  <c r="F24" i="25"/>
  <c r="S24" i="25" s="1"/>
  <c r="M23" i="25"/>
  <c r="F23" i="25"/>
  <c r="S23" i="25" s="1"/>
  <c r="T23" i="25" s="1"/>
  <c r="M22" i="25"/>
  <c r="F22" i="25"/>
  <c r="O22" i="25" s="1"/>
  <c r="M21" i="25"/>
  <c r="F21" i="25"/>
  <c r="S21" i="25" s="1"/>
  <c r="T20" i="25"/>
  <c r="Q20" i="25"/>
  <c r="J20" i="25"/>
  <c r="I20" i="25"/>
  <c r="H20" i="25"/>
  <c r="G20" i="25"/>
  <c r="F20" i="25" s="1"/>
  <c r="E20" i="25"/>
  <c r="D20" i="25"/>
  <c r="M20" i="25" s="1"/>
  <c r="M19" i="25"/>
  <c r="F19" i="25"/>
  <c r="K19" i="25" s="1"/>
  <c r="M18" i="25"/>
  <c r="F18" i="25"/>
  <c r="N18" i="25" s="1"/>
  <c r="M17" i="25"/>
  <c r="F17" i="25"/>
  <c r="R17" i="25" s="1"/>
  <c r="T16" i="25"/>
  <c r="M16" i="25"/>
  <c r="F16" i="25"/>
  <c r="P16" i="25" s="1"/>
  <c r="Q15" i="25"/>
  <c r="J15" i="25"/>
  <c r="I15" i="25"/>
  <c r="H15" i="25"/>
  <c r="G15" i="25"/>
  <c r="E15" i="25"/>
  <c r="D15" i="25"/>
  <c r="M15" i="25" s="1"/>
  <c r="S14" i="25"/>
  <c r="M14" i="25"/>
  <c r="F14" i="25"/>
  <c r="R14" i="25" s="1"/>
  <c r="R13" i="25"/>
  <c r="O13" i="25"/>
  <c r="M13" i="25"/>
  <c r="F13" i="25"/>
  <c r="N13" i="25" s="1"/>
  <c r="M12" i="25"/>
  <c r="F12" i="25"/>
  <c r="R12" i="25" s="1"/>
  <c r="P11" i="25"/>
  <c r="M11" i="25"/>
  <c r="F11" i="25"/>
  <c r="R11" i="25" s="1"/>
  <c r="Q10" i="25"/>
  <c r="J10" i="25"/>
  <c r="J47" i="25" s="1"/>
  <c r="I10" i="25"/>
  <c r="H10" i="25"/>
  <c r="G10" i="25"/>
  <c r="E10" i="25"/>
  <c r="E47" i="25" s="1"/>
  <c r="D10" i="25"/>
  <c r="D47" i="25" s="1"/>
  <c r="V9" i="25"/>
  <c r="W9" i="25" s="1"/>
  <c r="M9" i="25"/>
  <c r="F9" i="25"/>
  <c r="O9" i="25" s="1"/>
  <c r="W7" i="25"/>
  <c r="V7" i="25"/>
  <c r="M7" i="25"/>
  <c r="F7" i="25"/>
  <c r="G5" i="25"/>
  <c r="H5" i="25" s="1"/>
  <c r="I5" i="25" s="1"/>
  <c r="K5" i="25" s="1"/>
  <c r="L5" i="25" s="1"/>
  <c r="M5" i="25" s="1"/>
  <c r="N5" i="25" s="1"/>
  <c r="O5" i="25" s="1"/>
  <c r="P5" i="25" s="1"/>
  <c r="Q5" i="25" s="1"/>
  <c r="R5" i="25" s="1"/>
  <c r="S5" i="25" s="1"/>
  <c r="C5" i="25"/>
  <c r="D5" i="25" s="1"/>
  <c r="E5" i="25" s="1"/>
  <c r="O8" i="25" l="1"/>
  <c r="L31" i="25"/>
  <c r="K30" i="25"/>
  <c r="N31" i="25"/>
  <c r="S39" i="25"/>
  <c r="P12" i="25"/>
  <c r="N14" i="25"/>
  <c r="O16" i="25"/>
  <c r="N30" i="25"/>
  <c r="O42" i="25"/>
  <c r="O14" i="25"/>
  <c r="R16" i="25"/>
  <c r="O26" i="25"/>
  <c r="R30" i="25"/>
  <c r="S38" i="25"/>
  <c r="O23" i="25"/>
  <c r="L16" i="25"/>
  <c r="L30" i="25"/>
  <c r="F15" i="25"/>
  <c r="R15" i="25" s="1"/>
  <c r="L17" i="25"/>
  <c r="K18" i="25"/>
  <c r="L37" i="25"/>
  <c r="K38" i="25"/>
  <c r="K41" i="25"/>
  <c r="K46" i="25"/>
  <c r="Q47" i="25"/>
  <c r="V45" i="25" s="1"/>
  <c r="K12" i="25"/>
  <c r="L39" i="25"/>
  <c r="G47" i="25"/>
  <c r="K13" i="25"/>
  <c r="S16" i="25"/>
  <c r="N17" i="25"/>
  <c r="R19" i="25"/>
  <c r="N24" i="25"/>
  <c r="S25" i="25"/>
  <c r="N29" i="25"/>
  <c r="S30" i="25"/>
  <c r="T30" i="25" s="1"/>
  <c r="O31" i="25"/>
  <c r="N35" i="25"/>
  <c r="N37" i="25"/>
  <c r="R41" i="25"/>
  <c r="N44" i="25"/>
  <c r="N46" i="25"/>
  <c r="M10" i="25"/>
  <c r="S12" i="25"/>
  <c r="N19" i="25"/>
  <c r="O7" i="25"/>
  <c r="H47" i="25"/>
  <c r="N12" i="25"/>
  <c r="L13" i="25"/>
  <c r="L14" i="25"/>
  <c r="O17" i="25"/>
  <c r="O18" i="25"/>
  <c r="V25" i="25"/>
  <c r="N27" i="25"/>
  <c r="S31" i="25"/>
  <c r="O37" i="25"/>
  <c r="O38" i="25"/>
  <c r="N39" i="25"/>
  <c r="N40" i="25"/>
  <c r="N43" i="25"/>
  <c r="O46" i="25"/>
  <c r="S18" i="25"/>
  <c r="S13" i="25"/>
  <c r="L18" i="25"/>
  <c r="O21" i="25"/>
  <c r="L38" i="25"/>
  <c r="L43" i="25"/>
  <c r="P9" i="25"/>
  <c r="I47" i="25"/>
  <c r="N11" i="25"/>
  <c r="O12" i="25"/>
  <c r="K16" i="25"/>
  <c r="U16" i="25"/>
  <c r="S17" i="25"/>
  <c r="R18" i="25"/>
  <c r="S37" i="25"/>
  <c r="R38" i="25"/>
  <c r="O39" i="25"/>
  <c r="O43" i="25"/>
  <c r="F47" i="25"/>
  <c r="R20" i="25"/>
  <c r="L20" i="25"/>
  <c r="K20" i="25"/>
  <c r="P20" i="25"/>
  <c r="O20" i="25"/>
  <c r="S20" i="25"/>
  <c r="N20" i="25"/>
  <c r="N15" i="25"/>
  <c r="S15" i="25"/>
  <c r="L15" i="25"/>
  <c r="K15" i="25"/>
  <c r="P15" i="25"/>
  <c r="O15" i="25"/>
  <c r="U47" i="25"/>
  <c r="M47" i="25"/>
  <c r="P22" i="25"/>
  <c r="L34" i="25"/>
  <c r="K7" i="25"/>
  <c r="R7" i="25"/>
  <c r="K9" i="25"/>
  <c r="R9" i="25"/>
  <c r="F10" i="25"/>
  <c r="O11" i="25"/>
  <c r="P13" i="25"/>
  <c r="P18" i="25"/>
  <c r="N21" i="25"/>
  <c r="K22" i="25"/>
  <c r="R22" i="25"/>
  <c r="N23" i="25"/>
  <c r="V23" i="25"/>
  <c r="O24" i="25"/>
  <c r="N26" i="25"/>
  <c r="O27" i="25"/>
  <c r="K28" i="25"/>
  <c r="O29" i="25"/>
  <c r="O32" i="25"/>
  <c r="K33" i="25"/>
  <c r="R33" i="25"/>
  <c r="S34" i="25"/>
  <c r="O35" i="25"/>
  <c r="K36" i="25"/>
  <c r="R36" i="25"/>
  <c r="P38" i="25"/>
  <c r="O40" i="25"/>
  <c r="P42" i="25"/>
  <c r="O44" i="25"/>
  <c r="K45" i="25"/>
  <c r="R34" i="25"/>
  <c r="S9" i="25"/>
  <c r="P27" i="25"/>
  <c r="P32" i="25"/>
  <c r="L33" i="25"/>
  <c r="S33" i="25"/>
  <c r="N34" i="25"/>
  <c r="P35" i="25"/>
  <c r="L36" i="25"/>
  <c r="S36" i="25"/>
  <c r="T36" i="25" s="1"/>
  <c r="P40" i="25"/>
  <c r="R42" i="25"/>
  <c r="P44" i="25"/>
  <c r="P33" i="25"/>
  <c r="P36" i="25"/>
  <c r="L7" i="25"/>
  <c r="L22" i="25"/>
  <c r="S22" i="25"/>
  <c r="P24" i="25"/>
  <c r="P29" i="25"/>
  <c r="N16" i="25"/>
  <c r="P21" i="25"/>
  <c r="P23" i="25"/>
  <c r="K24" i="25"/>
  <c r="R24" i="25"/>
  <c r="P26" i="25"/>
  <c r="K27" i="25"/>
  <c r="R27" i="25"/>
  <c r="N28" i="25"/>
  <c r="K29" i="25"/>
  <c r="R29" i="25"/>
  <c r="K32" i="25"/>
  <c r="R32" i="25"/>
  <c r="O34" i="25"/>
  <c r="K35" i="25"/>
  <c r="R35" i="25"/>
  <c r="K40" i="25"/>
  <c r="R40" i="25"/>
  <c r="K42" i="25"/>
  <c r="K44" i="25"/>
  <c r="R44" i="25"/>
  <c r="N45" i="25"/>
  <c r="L9" i="25"/>
  <c r="U20" i="25"/>
  <c r="N7" i="25"/>
  <c r="N9" i="25"/>
  <c r="K11" i="25"/>
  <c r="S11" i="25"/>
  <c r="P14" i="25"/>
  <c r="P17" i="25"/>
  <c r="K21" i="25"/>
  <c r="R21" i="25"/>
  <c r="N22" i="25"/>
  <c r="K23" i="25"/>
  <c r="R23" i="25"/>
  <c r="L24" i="25"/>
  <c r="O25" i="25"/>
  <c r="K26" i="25"/>
  <c r="R26" i="25"/>
  <c r="L27" i="25"/>
  <c r="O28" i="25"/>
  <c r="O30" i="25"/>
  <c r="P31" i="25"/>
  <c r="L32" i="25"/>
  <c r="N33" i="25"/>
  <c r="P34" i="25"/>
  <c r="L35" i="25"/>
  <c r="N36" i="25"/>
  <c r="P37" i="25"/>
  <c r="P39" i="25"/>
  <c r="L40" i="25"/>
  <c r="N41" i="25"/>
  <c r="P43" i="25"/>
  <c r="L44" i="25"/>
  <c r="O45" i="25"/>
  <c r="P46" i="25"/>
  <c r="P7" i="25"/>
  <c r="R28" i="25"/>
  <c r="R45" i="25"/>
  <c r="S7" i="25"/>
  <c r="K14" i="25"/>
  <c r="K17" i="25"/>
  <c r="L21" i="25"/>
  <c r="L23" i="25"/>
  <c r="L26" i="25"/>
  <c r="K31" i="25"/>
  <c r="K37" i="25"/>
  <c r="K39" i="25"/>
  <c r="K43" i="25"/>
  <c r="N47" i="25" l="1"/>
  <c r="P47" i="25"/>
  <c r="O47" i="25"/>
  <c r="S47" i="25"/>
  <c r="L47" i="25"/>
  <c r="R47" i="25"/>
  <c r="K47" i="25"/>
  <c r="U45" i="25"/>
  <c r="W45" i="25" s="1"/>
  <c r="P10" i="25"/>
  <c r="N10" i="25"/>
  <c r="K10" i="25"/>
  <c r="O10" i="25"/>
  <c r="S10" i="25"/>
  <c r="R10" i="25"/>
  <c r="L10" i="25"/>
  <c r="A33" i="24" l="1"/>
  <c r="A34" i="24"/>
  <c r="R48" i="24"/>
  <c r="P48" i="24"/>
  <c r="Q48" i="24"/>
  <c r="P47" i="23"/>
  <c r="O48" i="24"/>
  <c r="N48" i="24"/>
  <c r="M48" i="24"/>
  <c r="L48" i="24"/>
  <c r="K48" i="24"/>
  <c r="J48" i="24"/>
  <c r="I48" i="24"/>
  <c r="H48" i="24"/>
  <c r="G48" i="24"/>
  <c r="F48" i="24"/>
  <c r="D48" i="24"/>
  <c r="P8" i="24"/>
  <c r="L8" i="24"/>
  <c r="M8" i="24" s="1"/>
  <c r="F8" i="24"/>
  <c r="O8" i="24" s="1"/>
  <c r="W47" i="24"/>
  <c r="O46" i="24"/>
  <c r="M46" i="24"/>
  <c r="L46" i="24"/>
  <c r="F46" i="24"/>
  <c r="Q46" i="24" s="1"/>
  <c r="L45" i="24"/>
  <c r="F45" i="24"/>
  <c r="M45" i="24" s="1"/>
  <c r="L44" i="24"/>
  <c r="K44" i="24"/>
  <c r="F44" i="24"/>
  <c r="Q44" i="24" s="1"/>
  <c r="L43" i="24"/>
  <c r="F43" i="24"/>
  <c r="N43" i="24" s="1"/>
  <c r="L42" i="24"/>
  <c r="F42" i="24"/>
  <c r="J42" i="24" s="1"/>
  <c r="Q41" i="24"/>
  <c r="L41" i="24"/>
  <c r="M41" i="24" s="1"/>
  <c r="J41" i="24"/>
  <c r="F41" i="24"/>
  <c r="O41" i="24" s="1"/>
  <c r="L40" i="24"/>
  <c r="F40" i="24"/>
  <c r="Q40" i="24" s="1"/>
  <c r="A40" i="24"/>
  <c r="A41" i="24" s="1"/>
  <c r="A42" i="24" s="1"/>
  <c r="A43" i="24" s="1"/>
  <c r="A44" i="24" s="1"/>
  <c r="A45" i="24" s="1"/>
  <c r="A46" i="24" s="1"/>
  <c r="L39" i="24"/>
  <c r="F39" i="24"/>
  <c r="N39" i="24" s="1"/>
  <c r="L38" i="24"/>
  <c r="N38" i="24" s="1"/>
  <c r="J38" i="24"/>
  <c r="F38" i="24"/>
  <c r="R38" i="24" s="1"/>
  <c r="L37" i="24"/>
  <c r="F37" i="24"/>
  <c r="N37" i="24" s="1"/>
  <c r="L36" i="24"/>
  <c r="M36" i="24" s="1"/>
  <c r="F36" i="24"/>
  <c r="Q36" i="24" s="1"/>
  <c r="L35" i="24"/>
  <c r="F35" i="24"/>
  <c r="Q35" i="24" s="1"/>
  <c r="P34" i="24"/>
  <c r="I34" i="24"/>
  <c r="H34" i="24"/>
  <c r="G34" i="24"/>
  <c r="F34" i="24" s="1"/>
  <c r="E34" i="24"/>
  <c r="D34" i="24"/>
  <c r="L34" i="24" s="1"/>
  <c r="L33" i="24"/>
  <c r="F33" i="24"/>
  <c r="O33" i="24" s="1"/>
  <c r="R32" i="24"/>
  <c r="L32" i="24"/>
  <c r="K32" i="24"/>
  <c r="F32" i="24"/>
  <c r="Q32" i="24" s="1"/>
  <c r="R31" i="24"/>
  <c r="L31" i="24"/>
  <c r="F31" i="24"/>
  <c r="Q31" i="24" s="1"/>
  <c r="Q30" i="24"/>
  <c r="L30" i="24"/>
  <c r="M30" i="24" s="1"/>
  <c r="J30" i="24"/>
  <c r="F30" i="24"/>
  <c r="O30" i="24" s="1"/>
  <c r="L29" i="24"/>
  <c r="F29" i="24"/>
  <c r="Q29" i="24" s="1"/>
  <c r="L28" i="24"/>
  <c r="F28" i="24"/>
  <c r="O28" i="24" s="1"/>
  <c r="R27" i="24"/>
  <c r="L27" i="24"/>
  <c r="K27" i="24"/>
  <c r="F27" i="24"/>
  <c r="Q27" i="24" s="1"/>
  <c r="A27" i="24"/>
  <c r="A28" i="24" s="1"/>
  <c r="A29" i="24" s="1"/>
  <c r="A30" i="24" s="1"/>
  <c r="A31" i="24" s="1"/>
  <c r="A32" i="24" s="1"/>
  <c r="L26" i="24"/>
  <c r="F26" i="24"/>
  <c r="R26" i="24" s="1"/>
  <c r="S26" i="24" s="1"/>
  <c r="L25" i="24"/>
  <c r="F25" i="24"/>
  <c r="O25" i="24" s="1"/>
  <c r="M24" i="24"/>
  <c r="L24" i="24"/>
  <c r="F24" i="24"/>
  <c r="K24" i="24" s="1"/>
  <c r="L23" i="24"/>
  <c r="F23" i="24"/>
  <c r="R23" i="24" s="1"/>
  <c r="S23" i="24" s="1"/>
  <c r="L22" i="24"/>
  <c r="F22" i="24"/>
  <c r="N22" i="24" s="1"/>
  <c r="L21" i="24"/>
  <c r="F21" i="24"/>
  <c r="R21" i="24" s="1"/>
  <c r="S20" i="24"/>
  <c r="P20" i="24"/>
  <c r="I20" i="24"/>
  <c r="H20" i="24"/>
  <c r="G20" i="24"/>
  <c r="F20" i="24" s="1"/>
  <c r="E20" i="24"/>
  <c r="D20" i="24"/>
  <c r="L20" i="24" s="1"/>
  <c r="L19" i="24"/>
  <c r="M19" i="24" s="1"/>
  <c r="F19" i="24"/>
  <c r="J19" i="24" s="1"/>
  <c r="L18" i="24"/>
  <c r="F18" i="24"/>
  <c r="R18" i="24" s="1"/>
  <c r="L17" i="24"/>
  <c r="F17" i="24"/>
  <c r="Q17" i="24" s="1"/>
  <c r="T16" i="24"/>
  <c r="S16" i="24"/>
  <c r="L16" i="24"/>
  <c r="F16" i="24"/>
  <c r="J16" i="24" s="1"/>
  <c r="P15" i="24"/>
  <c r="I15" i="24"/>
  <c r="H15" i="24"/>
  <c r="G15" i="24"/>
  <c r="E15" i="24"/>
  <c r="D15" i="24"/>
  <c r="L15" i="24" s="1"/>
  <c r="L14" i="24"/>
  <c r="F14" i="24"/>
  <c r="Q14" i="24" s="1"/>
  <c r="L13" i="24"/>
  <c r="F13" i="24"/>
  <c r="O13" i="24" s="1"/>
  <c r="L12" i="24"/>
  <c r="F12" i="24"/>
  <c r="L11" i="24"/>
  <c r="F11" i="24"/>
  <c r="P10" i="24"/>
  <c r="P47" i="24" s="1"/>
  <c r="I10" i="24"/>
  <c r="H10" i="24"/>
  <c r="G10" i="24"/>
  <c r="E10" i="24"/>
  <c r="D10" i="24"/>
  <c r="L10" i="24" s="1"/>
  <c r="U9" i="24"/>
  <c r="V9" i="24" s="1"/>
  <c r="L9" i="24"/>
  <c r="F9" i="24"/>
  <c r="R9" i="24" s="1"/>
  <c r="A9" i="24"/>
  <c r="V7" i="24"/>
  <c r="U7" i="24"/>
  <c r="R7" i="24"/>
  <c r="O7" i="24"/>
  <c r="L7" i="24"/>
  <c r="F7" i="24"/>
  <c r="G5" i="24"/>
  <c r="H5" i="24" s="1"/>
  <c r="J5" i="24" s="1"/>
  <c r="K5" i="24" s="1"/>
  <c r="L5" i="24" s="1"/>
  <c r="M5" i="24" s="1"/>
  <c r="N5" i="24" s="1"/>
  <c r="O5" i="24" s="1"/>
  <c r="P5" i="24" s="1"/>
  <c r="Q5" i="24" s="1"/>
  <c r="R5" i="24" s="1"/>
  <c r="D5" i="24"/>
  <c r="E5" i="24" s="1"/>
  <c r="C5" i="24"/>
  <c r="K9" i="24" l="1"/>
  <c r="J26" i="24"/>
  <c r="K35" i="24"/>
  <c r="K40" i="24"/>
  <c r="L47" i="24"/>
  <c r="K13" i="24"/>
  <c r="K14" i="24"/>
  <c r="F15" i="24"/>
  <c r="J17" i="24"/>
  <c r="M18" i="24"/>
  <c r="Q19" i="24"/>
  <c r="N21" i="24"/>
  <c r="N23" i="24"/>
  <c r="J25" i="24"/>
  <c r="N26" i="24"/>
  <c r="M27" i="24"/>
  <c r="K29" i="24"/>
  <c r="N30" i="24"/>
  <c r="J33" i="24"/>
  <c r="R36" i="24"/>
  <c r="S36" i="24" s="1"/>
  <c r="Q38" i="24"/>
  <c r="N45" i="24"/>
  <c r="N8" i="24"/>
  <c r="R13" i="24"/>
  <c r="E47" i="24"/>
  <c r="M13" i="24"/>
  <c r="N17" i="24"/>
  <c r="Q21" i="24"/>
  <c r="Q23" i="24"/>
  <c r="Q26" i="24"/>
  <c r="M33" i="24"/>
  <c r="R35" i="24"/>
  <c r="S35" i="24" s="1"/>
  <c r="R40" i="24"/>
  <c r="S40" i="24" s="1"/>
  <c r="J23" i="24"/>
  <c r="H47" i="24"/>
  <c r="O18" i="24"/>
  <c r="O9" i="24"/>
  <c r="N13" i="24"/>
  <c r="M14" i="24"/>
  <c r="K15" i="24"/>
  <c r="N16" i="24"/>
  <c r="M17" i="24"/>
  <c r="Q25" i="24"/>
  <c r="M29" i="24"/>
  <c r="N33" i="24"/>
  <c r="J46" i="24"/>
  <c r="J8" i="24"/>
  <c r="R8" i="24"/>
  <c r="J13" i="24"/>
  <c r="J21" i="24"/>
  <c r="M9" i="24"/>
  <c r="N25" i="24"/>
  <c r="M7" i="24"/>
  <c r="Q13" i="24"/>
  <c r="R14" i="24"/>
  <c r="O17" i="24"/>
  <c r="U25" i="24"/>
  <c r="K31" i="24"/>
  <c r="M32" i="24"/>
  <c r="K36" i="24"/>
  <c r="R44" i="24"/>
  <c r="N46" i="24"/>
  <c r="K8" i="24"/>
  <c r="Q8" i="24"/>
  <c r="K7" i="24"/>
  <c r="F10" i="24"/>
  <c r="G47" i="24"/>
  <c r="Q11" i="24"/>
  <c r="O11" i="24"/>
  <c r="M11" i="24"/>
  <c r="J11" i="24"/>
  <c r="Q20" i="24"/>
  <c r="K20" i="24"/>
  <c r="J20" i="24"/>
  <c r="O20" i="24"/>
  <c r="N20" i="24"/>
  <c r="M20" i="24"/>
  <c r="R20" i="24"/>
  <c r="Q9" i="24"/>
  <c r="J9" i="24"/>
  <c r="N9" i="24"/>
  <c r="I47" i="24"/>
  <c r="N15" i="24"/>
  <c r="M15" i="24"/>
  <c r="R15" i="24"/>
  <c r="J15" i="24"/>
  <c r="O12" i="24"/>
  <c r="N12" i="24"/>
  <c r="M12" i="24"/>
  <c r="J12" i="24"/>
  <c r="N34" i="24"/>
  <c r="M34" i="24"/>
  <c r="R34" i="24"/>
  <c r="Q34" i="24"/>
  <c r="K34" i="24"/>
  <c r="J34" i="24"/>
  <c r="O34" i="24"/>
  <c r="Q7" i="24"/>
  <c r="J7" i="24"/>
  <c r="N7" i="24"/>
  <c r="Q12" i="24"/>
  <c r="T47" i="24"/>
  <c r="U45" i="24"/>
  <c r="O22" i="24"/>
  <c r="Q28" i="24"/>
  <c r="O37" i="24"/>
  <c r="O39" i="24"/>
  <c r="O43" i="24"/>
  <c r="M16" i="24"/>
  <c r="N18" i="24"/>
  <c r="M21" i="24"/>
  <c r="J22" i="24"/>
  <c r="Q22" i="24"/>
  <c r="M23" i="24"/>
  <c r="U23" i="24"/>
  <c r="N24" i="24"/>
  <c r="K25" i="24"/>
  <c r="R25" i="24"/>
  <c r="M26" i="24"/>
  <c r="N27" i="24"/>
  <c r="J28" i="24"/>
  <c r="N29" i="24"/>
  <c r="K30" i="24"/>
  <c r="R30" i="24"/>
  <c r="S30" i="24" s="1"/>
  <c r="N32" i="24"/>
  <c r="K33" i="24"/>
  <c r="N36" i="24"/>
  <c r="J37" i="24"/>
  <c r="Q37" i="24"/>
  <c r="M38" i="24"/>
  <c r="J39" i="24"/>
  <c r="Q39" i="24"/>
  <c r="M42" i="24"/>
  <c r="J43" i="24"/>
  <c r="Q43" i="24"/>
  <c r="O45" i="24"/>
  <c r="T20" i="24"/>
  <c r="K22" i="24"/>
  <c r="R22" i="24"/>
  <c r="O24" i="24"/>
  <c r="O27" i="24"/>
  <c r="O29" i="24"/>
  <c r="M31" i="24"/>
  <c r="O32" i="24"/>
  <c r="M35" i="24"/>
  <c r="O36" i="24"/>
  <c r="K37" i="24"/>
  <c r="R37" i="24"/>
  <c r="K39" i="24"/>
  <c r="R39" i="24"/>
  <c r="M40" i="24"/>
  <c r="N42" i="24"/>
  <c r="K43" i="24"/>
  <c r="R43" i="24"/>
  <c r="M44" i="24"/>
  <c r="Q45" i="24"/>
  <c r="D47" i="24"/>
  <c r="N14" i="24"/>
  <c r="O16" i="24"/>
  <c r="J18" i="24"/>
  <c r="Q18" i="24"/>
  <c r="O21" i="24"/>
  <c r="O23" i="24"/>
  <c r="J24" i="24"/>
  <c r="Q24" i="24"/>
  <c r="M25" i="24"/>
  <c r="O26" i="24"/>
  <c r="J27" i="24"/>
  <c r="M28" i="24"/>
  <c r="J29" i="24"/>
  <c r="N31" i="24"/>
  <c r="J32" i="24"/>
  <c r="N35" i="24"/>
  <c r="J36" i="24"/>
  <c r="O38" i="24"/>
  <c r="N40" i="24"/>
  <c r="O42" i="24"/>
  <c r="N44" i="24"/>
  <c r="J45" i="24"/>
  <c r="O14" i="24"/>
  <c r="M22" i="24"/>
  <c r="R24" i="24"/>
  <c r="N28" i="24"/>
  <c r="O35" i="24"/>
  <c r="M37" i="24"/>
  <c r="M39" i="24"/>
  <c r="O40" i="24"/>
  <c r="Q42" i="24"/>
  <c r="M43" i="24"/>
  <c r="O44" i="24"/>
  <c r="Q16" i="24"/>
  <c r="K18" i="24"/>
  <c r="O31" i="24"/>
  <c r="J14" i="24"/>
  <c r="K21" i="24"/>
  <c r="K23" i="24"/>
  <c r="K26" i="24"/>
  <c r="J31" i="24"/>
  <c r="J35" i="24"/>
  <c r="K38" i="24"/>
  <c r="J40" i="24"/>
  <c r="J44" i="24"/>
  <c r="O15" i="24" l="1"/>
  <c r="Q15" i="24"/>
  <c r="F47" i="24"/>
  <c r="R10" i="24"/>
  <c r="Q10" i="24"/>
  <c r="J10" i="24"/>
  <c r="N10" i="24"/>
  <c r="K10" i="24"/>
  <c r="M10" i="24"/>
  <c r="O10" i="24"/>
  <c r="M47" i="24" l="1"/>
  <c r="R47" i="24"/>
  <c r="Q47" i="24"/>
  <c r="K47" i="24"/>
  <c r="O47" i="24"/>
  <c r="N47" i="24"/>
  <c r="T45" i="24"/>
  <c r="V45" i="24" s="1"/>
  <c r="J47" i="24"/>
  <c r="L20" i="23" l="1"/>
  <c r="L47" i="23"/>
  <c r="D47" i="23"/>
  <c r="R8" i="23"/>
  <c r="Q8" i="23"/>
  <c r="P8" i="23"/>
  <c r="J8" i="23" l="1"/>
  <c r="K8" i="23"/>
  <c r="L8" i="23"/>
  <c r="M8" i="23"/>
  <c r="N8" i="23"/>
  <c r="O8" i="23"/>
  <c r="N101" i="23"/>
  <c r="M101" i="23"/>
  <c r="K101" i="23"/>
  <c r="F101" i="23"/>
  <c r="Q101" i="23" s="1"/>
  <c r="F89" i="23"/>
  <c r="Q89" i="23" s="1"/>
  <c r="P88" i="23"/>
  <c r="I88" i="23"/>
  <c r="I87" i="23" s="1"/>
  <c r="G88" i="23"/>
  <c r="F88" i="23" s="1"/>
  <c r="E88" i="23"/>
  <c r="D88" i="23"/>
  <c r="P87" i="23"/>
  <c r="Q87" i="23" s="1"/>
  <c r="G87" i="23"/>
  <c r="F87" i="23"/>
  <c r="K87" i="23" s="1"/>
  <c r="E87" i="23"/>
  <c r="D87" i="23"/>
  <c r="L85" i="23"/>
  <c r="F85" i="23"/>
  <c r="Q85" i="23" s="1"/>
  <c r="R80" i="23"/>
  <c r="L80" i="23"/>
  <c r="F80" i="23"/>
  <c r="O80" i="23" s="1"/>
  <c r="L79" i="23"/>
  <c r="F79" i="23"/>
  <c r="R79" i="23" s="1"/>
  <c r="L78" i="23"/>
  <c r="F78" i="23"/>
  <c r="O78" i="23" s="1"/>
  <c r="R77" i="23"/>
  <c r="L77" i="23"/>
  <c r="F77" i="23"/>
  <c r="Q77" i="23" s="1"/>
  <c r="O76" i="23"/>
  <c r="L76" i="23"/>
  <c r="F76" i="23"/>
  <c r="Q76" i="23" s="1"/>
  <c r="P75" i="23"/>
  <c r="I75" i="23"/>
  <c r="G75" i="23"/>
  <c r="F75" i="23"/>
  <c r="O75" i="23" s="1"/>
  <c r="E75" i="23"/>
  <c r="D75" i="23"/>
  <c r="L74" i="23"/>
  <c r="F74" i="23"/>
  <c r="J74" i="23" s="1"/>
  <c r="R73" i="23"/>
  <c r="L73" i="23"/>
  <c r="F73" i="23"/>
  <c r="O73" i="23" s="1"/>
  <c r="L72" i="23"/>
  <c r="N72" i="23" s="1"/>
  <c r="F72" i="23"/>
  <c r="J72" i="23" s="1"/>
  <c r="A72" i="23"/>
  <c r="A73" i="23" s="1"/>
  <c r="A74" i="23" s="1"/>
  <c r="A75" i="23" s="1"/>
  <c r="L71" i="23"/>
  <c r="F71" i="23"/>
  <c r="O71" i="23" s="1"/>
  <c r="F70" i="23"/>
  <c r="R70" i="23" s="1"/>
  <c r="N69" i="23"/>
  <c r="L69" i="23"/>
  <c r="F69" i="23"/>
  <c r="R69" i="23" s="1"/>
  <c r="P68" i="23"/>
  <c r="P81" i="23" s="1"/>
  <c r="L68" i="23"/>
  <c r="I68" i="23"/>
  <c r="I81" i="23" s="1"/>
  <c r="G68" i="23"/>
  <c r="G81" i="23" s="1"/>
  <c r="F68" i="23"/>
  <c r="D68" i="23"/>
  <c r="D81" i="23" s="1"/>
  <c r="P63" i="23"/>
  <c r="P105" i="23" s="1"/>
  <c r="I63" i="23"/>
  <c r="G63" i="23"/>
  <c r="F63" i="23" s="1"/>
  <c r="E63" i="23"/>
  <c r="E105" i="23" s="1"/>
  <c r="D63" i="23"/>
  <c r="D105" i="23" s="1"/>
  <c r="P61" i="23"/>
  <c r="I61" i="23"/>
  <c r="G61" i="23"/>
  <c r="F61" i="23" s="1"/>
  <c r="E61" i="23"/>
  <c r="D61" i="23"/>
  <c r="O58" i="23"/>
  <c r="O57" i="23"/>
  <c r="L57" i="23"/>
  <c r="F57" i="23"/>
  <c r="K57" i="23" s="1"/>
  <c r="L56" i="23"/>
  <c r="F56" i="23"/>
  <c r="K56" i="23" s="1"/>
  <c r="L55" i="23"/>
  <c r="N55" i="23" s="1"/>
  <c r="F55" i="23"/>
  <c r="O55" i="23" s="1"/>
  <c r="L54" i="23"/>
  <c r="F54" i="23"/>
  <c r="K54" i="23" s="1"/>
  <c r="T53" i="23"/>
  <c r="P53" i="23"/>
  <c r="P64" i="23" s="1"/>
  <c r="P106" i="23" s="1"/>
  <c r="L53" i="23"/>
  <c r="I53" i="23"/>
  <c r="I64" i="23" s="1"/>
  <c r="I106" i="23" s="1"/>
  <c r="G53" i="23"/>
  <c r="G64" i="23" s="1"/>
  <c r="E53" i="23"/>
  <c r="E64" i="23" s="1"/>
  <c r="D53" i="23"/>
  <c r="D64" i="23" s="1"/>
  <c r="D106" i="23" s="1"/>
  <c r="L52" i="23"/>
  <c r="F52" i="23"/>
  <c r="L51" i="23"/>
  <c r="F51" i="23"/>
  <c r="L50" i="23"/>
  <c r="F50" i="23"/>
  <c r="O50" i="23" s="1"/>
  <c r="L49" i="23"/>
  <c r="L61" i="23" s="1"/>
  <c r="F49" i="23"/>
  <c r="K49" i="23" s="1"/>
  <c r="A49" i="23"/>
  <c r="A50" i="23" s="1"/>
  <c r="A51" i="23" s="1"/>
  <c r="A52" i="23" s="1"/>
  <c r="L48" i="23"/>
  <c r="L63" i="23" s="1"/>
  <c r="F48" i="23"/>
  <c r="O48" i="23" s="1"/>
  <c r="W46" i="23"/>
  <c r="L45" i="23"/>
  <c r="F45" i="23"/>
  <c r="Q45" i="23" s="1"/>
  <c r="L44" i="23"/>
  <c r="F44" i="23"/>
  <c r="J44" i="23" s="1"/>
  <c r="M43" i="23"/>
  <c r="L43" i="23"/>
  <c r="F43" i="23"/>
  <c r="J43" i="23" s="1"/>
  <c r="L42" i="23"/>
  <c r="K42" i="23"/>
  <c r="F42" i="23"/>
  <c r="O42" i="23" s="1"/>
  <c r="L41" i="23"/>
  <c r="F41" i="23"/>
  <c r="M41" i="23" s="1"/>
  <c r="L40" i="23"/>
  <c r="F40" i="23"/>
  <c r="Q40" i="23" s="1"/>
  <c r="L39" i="23"/>
  <c r="F39" i="23"/>
  <c r="O39" i="23" s="1"/>
  <c r="A39" i="23"/>
  <c r="A40" i="23" s="1"/>
  <c r="A41" i="23" s="1"/>
  <c r="A42" i="23" s="1"/>
  <c r="A43" i="23" s="1"/>
  <c r="A44" i="23" s="1"/>
  <c r="A45" i="23" s="1"/>
  <c r="L38" i="23"/>
  <c r="F38" i="23"/>
  <c r="O38" i="23" s="1"/>
  <c r="L37" i="23"/>
  <c r="K37" i="23"/>
  <c r="J37" i="23"/>
  <c r="F37" i="23"/>
  <c r="N37" i="23" s="1"/>
  <c r="L36" i="23"/>
  <c r="F36" i="23"/>
  <c r="M36" i="23" s="1"/>
  <c r="Q35" i="23"/>
  <c r="L35" i="23"/>
  <c r="F35" i="23"/>
  <c r="J35" i="23" s="1"/>
  <c r="L34" i="23"/>
  <c r="F34" i="23"/>
  <c r="N34" i="23" s="1"/>
  <c r="P33" i="23"/>
  <c r="I33" i="23"/>
  <c r="G33" i="23"/>
  <c r="F33" i="23"/>
  <c r="E33" i="23"/>
  <c r="D33" i="23"/>
  <c r="L33" i="23" s="1"/>
  <c r="L32" i="23"/>
  <c r="F32" i="23"/>
  <c r="M32" i="23" s="1"/>
  <c r="L31" i="23"/>
  <c r="F31" i="23"/>
  <c r="N31" i="23" s="1"/>
  <c r="L30" i="23"/>
  <c r="M30" i="23" s="1"/>
  <c r="F30" i="23"/>
  <c r="O30" i="23" s="1"/>
  <c r="O29" i="23"/>
  <c r="L29" i="23"/>
  <c r="K29" i="23"/>
  <c r="F29" i="23"/>
  <c r="R29" i="23" s="1"/>
  <c r="S29" i="23" s="1"/>
  <c r="L28" i="23"/>
  <c r="F28" i="23"/>
  <c r="Q28" i="23" s="1"/>
  <c r="L27" i="23"/>
  <c r="F27" i="23"/>
  <c r="Q27" i="23" s="1"/>
  <c r="Q26" i="23"/>
  <c r="L26" i="23"/>
  <c r="F26" i="23"/>
  <c r="J26" i="23" s="1"/>
  <c r="A26" i="23"/>
  <c r="A27" i="23" s="1"/>
  <c r="A28" i="23" s="1"/>
  <c r="A29" i="23" s="1"/>
  <c r="A30" i="23" s="1"/>
  <c r="A31" i="23" s="1"/>
  <c r="A33" i="23" s="1"/>
  <c r="S25" i="23"/>
  <c r="Q25" i="23"/>
  <c r="L25" i="23"/>
  <c r="F25" i="23"/>
  <c r="O25" i="23" s="1"/>
  <c r="R24" i="23"/>
  <c r="L24" i="23"/>
  <c r="F24" i="23"/>
  <c r="O24" i="23" s="1"/>
  <c r="L23" i="23"/>
  <c r="F23" i="23"/>
  <c r="U22" i="23"/>
  <c r="L22" i="23"/>
  <c r="F22" i="23"/>
  <c r="O22" i="23" s="1"/>
  <c r="L21" i="23"/>
  <c r="F21" i="23"/>
  <c r="N21" i="23" s="1"/>
  <c r="F20" i="23"/>
  <c r="O20" i="23" s="1"/>
  <c r="S19" i="23"/>
  <c r="P19" i="23"/>
  <c r="L19" i="23"/>
  <c r="I19" i="23"/>
  <c r="G19" i="23"/>
  <c r="F19" i="23" s="1"/>
  <c r="E19" i="23"/>
  <c r="D19" i="23"/>
  <c r="O18" i="23"/>
  <c r="L18" i="23"/>
  <c r="F18" i="23"/>
  <c r="K18" i="23" s="1"/>
  <c r="O17" i="23"/>
  <c r="M17" i="23"/>
  <c r="L17" i="23"/>
  <c r="F17" i="23"/>
  <c r="N17" i="23" s="1"/>
  <c r="S16" i="23"/>
  <c r="M16" i="23"/>
  <c r="L16" i="23"/>
  <c r="F16" i="23"/>
  <c r="Q16" i="23" s="1"/>
  <c r="P15" i="23"/>
  <c r="I15" i="23"/>
  <c r="G15" i="23"/>
  <c r="F15" i="23"/>
  <c r="K15" i="23" s="1"/>
  <c r="E15" i="23"/>
  <c r="D15" i="23"/>
  <c r="L15" i="23" s="1"/>
  <c r="L14" i="23"/>
  <c r="K14" i="23"/>
  <c r="F14" i="23"/>
  <c r="N14" i="23" s="1"/>
  <c r="L13" i="23"/>
  <c r="F13" i="23"/>
  <c r="O13" i="23" s="1"/>
  <c r="L12" i="23"/>
  <c r="F12" i="23"/>
  <c r="O12" i="23" s="1"/>
  <c r="L11" i="23"/>
  <c r="F11" i="23"/>
  <c r="R10" i="23"/>
  <c r="P10" i="23"/>
  <c r="L10" i="23"/>
  <c r="K10" i="23"/>
  <c r="I10" i="23"/>
  <c r="G10" i="23"/>
  <c r="F10" i="23"/>
  <c r="E10" i="23"/>
  <c r="D10" i="23"/>
  <c r="D46" i="23" s="1"/>
  <c r="U9" i="23"/>
  <c r="V9" i="23" s="1"/>
  <c r="L9" i="23"/>
  <c r="F9" i="23"/>
  <c r="N9" i="23" s="1"/>
  <c r="A9" i="23"/>
  <c r="V7" i="23"/>
  <c r="U7" i="23"/>
  <c r="O7" i="23"/>
  <c r="N7" i="23"/>
  <c r="L7" i="23"/>
  <c r="J7" i="23"/>
  <c r="F7" i="23"/>
  <c r="Q7" i="23" s="1"/>
  <c r="J5" i="23"/>
  <c r="K5" i="23" s="1"/>
  <c r="L5" i="23" s="1"/>
  <c r="M5" i="23" s="1"/>
  <c r="N5" i="23" s="1"/>
  <c r="O5" i="23" s="1"/>
  <c r="P5" i="23" s="1"/>
  <c r="Q5" i="23" s="1"/>
  <c r="R5" i="23" s="1"/>
  <c r="G5" i="23"/>
  <c r="D5" i="23"/>
  <c r="E5" i="23" s="1"/>
  <c r="C5" i="23"/>
  <c r="G46" i="23" l="1"/>
  <c r="G95" i="23" s="1"/>
  <c r="M15" i="23"/>
  <c r="K61" i="23"/>
  <c r="J61" i="23"/>
  <c r="O88" i="23"/>
  <c r="Q88" i="23"/>
  <c r="J88" i="23"/>
  <c r="O68" i="23"/>
  <c r="Q68" i="23"/>
  <c r="K71" i="23"/>
  <c r="J54" i="23"/>
  <c r="I105" i="23"/>
  <c r="I104" i="23" s="1"/>
  <c r="R68" i="23"/>
  <c r="J70" i="23"/>
  <c r="N71" i="23"/>
  <c r="O72" i="23"/>
  <c r="J78" i="23"/>
  <c r="N79" i="23"/>
  <c r="Q56" i="23"/>
  <c r="M70" i="23"/>
  <c r="R71" i="23"/>
  <c r="Q74" i="23"/>
  <c r="J77" i="23"/>
  <c r="K78" i="23"/>
  <c r="J85" i="23"/>
  <c r="O101" i="23"/>
  <c r="Q61" i="23"/>
  <c r="K68" i="23"/>
  <c r="Q70" i="23"/>
  <c r="K73" i="23"/>
  <c r="R75" i="23"/>
  <c r="M77" i="23"/>
  <c r="N78" i="23"/>
  <c r="K80" i="23"/>
  <c r="N85" i="23"/>
  <c r="K55" i="23"/>
  <c r="L81" i="23"/>
  <c r="L83" i="23" s="1"/>
  <c r="M69" i="23"/>
  <c r="N73" i="23"/>
  <c r="Q78" i="23"/>
  <c r="N80" i="23"/>
  <c r="O85" i="23"/>
  <c r="N16" i="23"/>
  <c r="Q17" i="23"/>
  <c r="M23" i="23"/>
  <c r="Q24" i="23"/>
  <c r="M29" i="23"/>
  <c r="Q30" i="23"/>
  <c r="N42" i="23"/>
  <c r="N43" i="23"/>
  <c r="J45" i="23"/>
  <c r="K48" i="23"/>
  <c r="J49" i="23"/>
  <c r="J50" i="23"/>
  <c r="Q12" i="23"/>
  <c r="O14" i="23"/>
  <c r="Q21" i="23"/>
  <c r="M33" i="23"/>
  <c r="R42" i="23"/>
  <c r="O43" i="23"/>
  <c r="M45" i="23"/>
  <c r="K50" i="23"/>
  <c r="M54" i="23"/>
  <c r="J57" i="23"/>
  <c r="M10" i="23"/>
  <c r="J20" i="23"/>
  <c r="N23" i="23"/>
  <c r="O34" i="23"/>
  <c r="M37" i="23"/>
  <c r="N45" i="23"/>
  <c r="N48" i="23"/>
  <c r="M49" i="23"/>
  <c r="N54" i="23"/>
  <c r="J56" i="23"/>
  <c r="M18" i="23"/>
  <c r="M20" i="23"/>
  <c r="O23" i="23"/>
  <c r="N26" i="23"/>
  <c r="O45" i="23"/>
  <c r="R48" i="23"/>
  <c r="N49" i="23"/>
  <c r="Q50" i="23"/>
  <c r="O54" i="23"/>
  <c r="M57" i="23"/>
  <c r="L46" i="23"/>
  <c r="N18" i="23"/>
  <c r="Q20" i="23"/>
  <c r="Q22" i="23"/>
  <c r="N25" i="23"/>
  <c r="O26" i="23"/>
  <c r="J30" i="23"/>
  <c r="K33" i="23"/>
  <c r="O49" i="23"/>
  <c r="R50" i="23"/>
  <c r="O56" i="23"/>
  <c r="N57" i="23"/>
  <c r="O32" i="23"/>
  <c r="Q39" i="23"/>
  <c r="K23" i="23"/>
  <c r="J24" i="23"/>
  <c r="J27" i="23"/>
  <c r="O28" i="23"/>
  <c r="M38" i="23"/>
  <c r="O21" i="23"/>
  <c r="N22" i="23"/>
  <c r="M24" i="23"/>
  <c r="M25" i="23"/>
  <c r="O27" i="23"/>
  <c r="Q31" i="23"/>
  <c r="O35" i="23"/>
  <c r="R37" i="23"/>
  <c r="Q41" i="23"/>
  <c r="J28" i="23"/>
  <c r="K38" i="23"/>
  <c r="J41" i="23"/>
  <c r="J13" i="23"/>
  <c r="J22" i="23"/>
  <c r="U24" i="23"/>
  <c r="N28" i="23"/>
  <c r="K36" i="23"/>
  <c r="N38" i="23"/>
  <c r="M13" i="23"/>
  <c r="N41" i="23"/>
  <c r="N12" i="23"/>
  <c r="Q13" i="23"/>
  <c r="J17" i="23"/>
  <c r="T19" i="23"/>
  <c r="M22" i="23"/>
  <c r="K24" i="23"/>
  <c r="J25" i="23"/>
  <c r="N27" i="23"/>
  <c r="O31" i="23"/>
  <c r="R33" i="23"/>
  <c r="O37" i="23"/>
  <c r="R38" i="23"/>
  <c r="O41" i="23"/>
  <c r="O19" i="23"/>
  <c r="Q19" i="23"/>
  <c r="K19" i="23"/>
  <c r="R19" i="23"/>
  <c r="M19" i="23"/>
  <c r="N19" i="23"/>
  <c r="J19" i="23"/>
  <c r="L97" i="23"/>
  <c r="L99" i="23" s="1"/>
  <c r="L95" i="23"/>
  <c r="Q9" i="23"/>
  <c r="I46" i="23"/>
  <c r="I47" i="23" s="1"/>
  <c r="Q10" i="23"/>
  <c r="J12" i="23"/>
  <c r="M12" i="23"/>
  <c r="J14" i="23"/>
  <c r="Q18" i="23"/>
  <c r="J18" i="23"/>
  <c r="R18" i="23"/>
  <c r="N20" i="23"/>
  <c r="M21" i="23"/>
  <c r="Q23" i="23"/>
  <c r="J23" i="23"/>
  <c r="R23" i="23"/>
  <c r="K28" i="23"/>
  <c r="M28" i="23"/>
  <c r="N29" i="23"/>
  <c r="Q29" i="23"/>
  <c r="J29" i="23"/>
  <c r="N30" i="23"/>
  <c r="Q33" i="23"/>
  <c r="N44" i="23"/>
  <c r="O44" i="23"/>
  <c r="M44" i="23"/>
  <c r="Q44" i="23"/>
  <c r="G106" i="23"/>
  <c r="F106" i="23" s="1"/>
  <c r="F64" i="23"/>
  <c r="J11" i="23"/>
  <c r="M11" i="23"/>
  <c r="R15" i="23"/>
  <c r="N15" i="23"/>
  <c r="Q34" i="23"/>
  <c r="J34" i="23"/>
  <c r="R34" i="23"/>
  <c r="S34" i="23" s="1"/>
  <c r="Q51" i="23"/>
  <c r="J51" i="23"/>
  <c r="R51" i="23"/>
  <c r="K51" i="23"/>
  <c r="N51" i="23"/>
  <c r="M51" i="23"/>
  <c r="O51" i="23"/>
  <c r="E46" i="23"/>
  <c r="N13" i="23"/>
  <c r="M14" i="23"/>
  <c r="J21" i="23"/>
  <c r="R21" i="23"/>
  <c r="M27" i="23"/>
  <c r="R31" i="23"/>
  <c r="K31" i="23"/>
  <c r="M31" i="23"/>
  <c r="N32" i="23"/>
  <c r="J32" i="23"/>
  <c r="K34" i="23"/>
  <c r="N35" i="23"/>
  <c r="M35" i="23"/>
  <c r="R35" i="23"/>
  <c r="S35" i="23" s="1"/>
  <c r="R39" i="23"/>
  <c r="S39" i="23" s="1"/>
  <c r="K39" i="23"/>
  <c r="J39" i="23"/>
  <c r="M39" i="23"/>
  <c r="M42" i="23"/>
  <c r="Q63" i="23"/>
  <c r="K63" i="23"/>
  <c r="J63" i="23"/>
  <c r="O63" i="23"/>
  <c r="R63" i="23"/>
  <c r="M63" i="23"/>
  <c r="N63" i="23"/>
  <c r="J9" i="23"/>
  <c r="R7" i="23"/>
  <c r="K7" i="23"/>
  <c r="M7" i="23"/>
  <c r="N10" i="23"/>
  <c r="J10" i="23"/>
  <c r="O10" i="23"/>
  <c r="O11" i="23"/>
  <c r="Q15" i="23"/>
  <c r="K21" i="23"/>
  <c r="J31" i="23"/>
  <c r="K32" i="23"/>
  <c r="N33" i="23"/>
  <c r="J33" i="23"/>
  <c r="O33" i="23"/>
  <c r="M52" i="23"/>
  <c r="Q52" i="23"/>
  <c r="J52" i="23"/>
  <c r="R9" i="23"/>
  <c r="K9" i="23"/>
  <c r="M9" i="23"/>
  <c r="D95" i="23"/>
  <c r="L120" i="23"/>
  <c r="L121" i="23" s="1"/>
  <c r="O15" i="23"/>
  <c r="O9" i="23"/>
  <c r="Q11" i="23"/>
  <c r="Q14" i="23"/>
  <c r="J15" i="23"/>
  <c r="O16" i="23"/>
  <c r="J16" i="23"/>
  <c r="T16" i="23"/>
  <c r="N24" i="23"/>
  <c r="R26" i="23"/>
  <c r="K26" i="23"/>
  <c r="M26" i="23"/>
  <c r="M34" i="23"/>
  <c r="K35" i="23"/>
  <c r="N39" i="23"/>
  <c r="N50" i="23"/>
  <c r="L64" i="23"/>
  <c r="L106" i="23" s="1"/>
  <c r="M50" i="23"/>
  <c r="O36" i="23"/>
  <c r="Q36" i="23"/>
  <c r="R36" i="23"/>
  <c r="M40" i="23"/>
  <c r="O40" i="23"/>
  <c r="L62" i="23"/>
  <c r="L59" i="23" s="1"/>
  <c r="D62" i="23"/>
  <c r="D59" i="23" s="1"/>
  <c r="D104" i="23"/>
  <c r="D83" i="23"/>
  <c r="D97" i="23" s="1"/>
  <c r="D99" i="23" s="1"/>
  <c r="L122" i="23"/>
  <c r="D91" i="23"/>
  <c r="D93" i="23" s="1"/>
  <c r="O87" i="23"/>
  <c r="P46" i="23"/>
  <c r="K13" i="23"/>
  <c r="R13" i="23"/>
  <c r="K20" i="23"/>
  <c r="R20" i="23"/>
  <c r="K22" i="23"/>
  <c r="R22" i="23"/>
  <c r="S22" i="23" s="1"/>
  <c r="K25" i="23"/>
  <c r="K30" i="23"/>
  <c r="R30" i="23"/>
  <c r="J36" i="23"/>
  <c r="Q37" i="23"/>
  <c r="J40" i="23"/>
  <c r="R43" i="23"/>
  <c r="K43" i="23"/>
  <c r="Q43" i="23"/>
  <c r="M48" i="23"/>
  <c r="F53" i="23"/>
  <c r="I62" i="23"/>
  <c r="I59" i="23" s="1"/>
  <c r="E104" i="23"/>
  <c r="P104" i="23"/>
  <c r="E68" i="23"/>
  <c r="E81" i="23" s="1"/>
  <c r="L75" i="23"/>
  <c r="M75" i="23" s="1"/>
  <c r="N76" i="23"/>
  <c r="M76" i="23"/>
  <c r="M55" i="23"/>
  <c r="G105" i="23"/>
  <c r="G62" i="23"/>
  <c r="E62" i="23"/>
  <c r="E59" i="23" s="1"/>
  <c r="E106" i="23"/>
  <c r="F81" i="23"/>
  <c r="G91" i="23"/>
  <c r="K75" i="23"/>
  <c r="J75" i="23"/>
  <c r="P91" i="23"/>
  <c r="P83" i="23"/>
  <c r="N61" i="23"/>
  <c r="I91" i="23"/>
  <c r="I93" i="23" s="1"/>
  <c r="I83" i="23"/>
  <c r="G83" i="23"/>
  <c r="F83" i="23" s="1"/>
  <c r="N36" i="23"/>
  <c r="Q49" i="23"/>
  <c r="Q54" i="23"/>
  <c r="M56" i="23"/>
  <c r="N56" i="23"/>
  <c r="Q57" i="23"/>
  <c r="P62" i="23"/>
  <c r="P59" i="23" s="1"/>
  <c r="J38" i="23"/>
  <c r="Q38" i="23"/>
  <c r="J42" i="23"/>
  <c r="Q42" i="23"/>
  <c r="J48" i="23"/>
  <c r="Q48" i="23"/>
  <c r="J55" i="23"/>
  <c r="Q55" i="23"/>
  <c r="O61" i="23"/>
  <c r="J68" i="23"/>
  <c r="J71" i="23"/>
  <c r="Q71" i="23"/>
  <c r="M72" i="23"/>
  <c r="J73" i="23"/>
  <c r="Q73" i="23"/>
  <c r="M74" i="23"/>
  <c r="N75" i="23"/>
  <c r="J76" i="23"/>
  <c r="M79" i="23"/>
  <c r="J80" i="23"/>
  <c r="Q80" i="23"/>
  <c r="J87" i="23"/>
  <c r="J101" i="23"/>
  <c r="R101" i="23"/>
  <c r="O79" i="23"/>
  <c r="L88" i="23"/>
  <c r="M68" i="23"/>
  <c r="O69" i="23"/>
  <c r="M71" i="23"/>
  <c r="Q72" i="23"/>
  <c r="M73" i="23"/>
  <c r="Q75" i="23"/>
  <c r="J79" i="23"/>
  <c r="Q79" i="23"/>
  <c r="M80" i="23"/>
  <c r="M85" i="23"/>
  <c r="J89" i="23"/>
  <c r="M61" i="23"/>
  <c r="N68" i="23"/>
  <c r="J69" i="23"/>
  <c r="Q69" i="23"/>
  <c r="M78" i="23"/>
  <c r="K79" i="23"/>
  <c r="M89" i="23"/>
  <c r="K69" i="23"/>
  <c r="F46" i="23" l="1"/>
  <c r="F47" i="23" s="1"/>
  <c r="M88" i="23"/>
  <c r="L87" i="23"/>
  <c r="I97" i="23"/>
  <c r="I99" i="23" s="1"/>
  <c r="I95" i="23"/>
  <c r="D66" i="23"/>
  <c r="D110" i="23" s="1"/>
  <c r="E110" i="23" s="1"/>
  <c r="D103" i="23"/>
  <c r="D108" i="23" s="1"/>
  <c r="D120" i="23" s="1"/>
  <c r="P93" i="23"/>
  <c r="T91" i="23"/>
  <c r="O53" i="23"/>
  <c r="J53" i="23"/>
  <c r="K53" i="23"/>
  <c r="Q53" i="23"/>
  <c r="N53" i="23"/>
  <c r="M53" i="23"/>
  <c r="F95" i="23"/>
  <c r="E95" i="23"/>
  <c r="N81" i="23"/>
  <c r="M81" i="23"/>
  <c r="R81" i="23"/>
  <c r="Q81" i="23"/>
  <c r="K81" i="23"/>
  <c r="O81" i="23"/>
  <c r="J81" i="23"/>
  <c r="P103" i="23"/>
  <c r="P66" i="23"/>
  <c r="I103" i="23"/>
  <c r="I66" i="23"/>
  <c r="E66" i="23"/>
  <c r="E103" i="23"/>
  <c r="L105" i="23"/>
  <c r="L104" i="23" s="1"/>
  <c r="R83" i="23"/>
  <c r="Q83" i="23"/>
  <c r="K83" i="23"/>
  <c r="J83" i="23"/>
  <c r="O83" i="23"/>
  <c r="M83" i="23"/>
  <c r="N83" i="23"/>
  <c r="F62" i="23"/>
  <c r="G59" i="23"/>
  <c r="L66" i="23"/>
  <c r="L103" i="23"/>
  <c r="G97" i="23"/>
  <c r="F91" i="23"/>
  <c r="G93" i="23"/>
  <c r="F93" i="23" s="1"/>
  <c r="O64" i="23"/>
  <c r="N64" i="23"/>
  <c r="M64" i="23"/>
  <c r="J64" i="23"/>
  <c r="K64" i="23"/>
  <c r="R64" i="23"/>
  <c r="Q64" i="23"/>
  <c r="O106" i="23"/>
  <c r="N106" i="23"/>
  <c r="M106" i="23"/>
  <c r="R106" i="23"/>
  <c r="J106" i="23"/>
  <c r="Q106" i="23"/>
  <c r="K106" i="23"/>
  <c r="P95" i="23"/>
  <c r="P97" i="23"/>
  <c r="P99" i="23" s="1"/>
  <c r="U44" i="23"/>
  <c r="T46" i="23"/>
  <c r="O46" i="23"/>
  <c r="J46" i="23"/>
  <c r="N46" i="23"/>
  <c r="M46" i="23"/>
  <c r="R46" i="23"/>
  <c r="T44" i="23"/>
  <c r="V44" i="23" s="1"/>
  <c r="Q46" i="23"/>
  <c r="K46" i="23"/>
  <c r="N88" i="23"/>
  <c r="G104" i="23"/>
  <c r="F104" i="23" s="1"/>
  <c r="F105" i="23"/>
  <c r="E83" i="23"/>
  <c r="E97" i="23" s="1"/>
  <c r="E99" i="23" s="1"/>
  <c r="E91" i="23"/>
  <c r="E93" i="23" s="1"/>
  <c r="L124" i="23"/>
  <c r="L123" i="23"/>
  <c r="M47" i="23" l="1"/>
  <c r="N47" i="23"/>
  <c r="O47" i="23"/>
  <c r="R47" i="23"/>
  <c r="J47" i="23"/>
  <c r="K47" i="23"/>
  <c r="Q47" i="23"/>
  <c r="Q105" i="23"/>
  <c r="K105" i="23"/>
  <c r="J105" i="23"/>
  <c r="O105" i="23"/>
  <c r="N105" i="23"/>
  <c r="R105" i="23"/>
  <c r="M105" i="23"/>
  <c r="J91" i="23"/>
  <c r="O91" i="23"/>
  <c r="Q91" i="23"/>
  <c r="K91" i="23"/>
  <c r="R91" i="23"/>
  <c r="P110" i="23"/>
  <c r="T66" i="23"/>
  <c r="Q95" i="23"/>
  <c r="K95" i="23"/>
  <c r="J95" i="23"/>
  <c r="O95" i="23"/>
  <c r="N95" i="23"/>
  <c r="R95" i="23"/>
  <c r="M95" i="23"/>
  <c r="I108" i="23"/>
  <c r="I120" i="23" s="1"/>
  <c r="I110" i="23"/>
  <c r="W66" i="23"/>
  <c r="M62" i="23"/>
  <c r="R62" i="23"/>
  <c r="Q62" i="23"/>
  <c r="N62" i="23"/>
  <c r="O62" i="23"/>
  <c r="K62" i="23"/>
  <c r="J62" i="23"/>
  <c r="M104" i="23"/>
  <c r="R104" i="23"/>
  <c r="Q104" i="23"/>
  <c r="K104" i="23"/>
  <c r="J104" i="23"/>
  <c r="N104" i="23"/>
  <c r="O104" i="23"/>
  <c r="F97" i="23"/>
  <c r="G99" i="23"/>
  <c r="F99" i="23" s="1"/>
  <c r="G103" i="23"/>
  <c r="G66" i="23"/>
  <c r="F59" i="23"/>
  <c r="P108" i="23"/>
  <c r="T108" i="23" s="1"/>
  <c r="N87" i="23"/>
  <c r="L91" i="23"/>
  <c r="M91" i="23" s="1"/>
  <c r="M87" i="23"/>
  <c r="R93" i="23"/>
  <c r="Q93" i="23"/>
  <c r="K93" i="23"/>
  <c r="J93" i="23"/>
  <c r="O93" i="23"/>
  <c r="E108" i="23"/>
  <c r="E120" i="23" s="1"/>
  <c r="L108" i="23" l="1"/>
  <c r="L93" i="23"/>
  <c r="M99" i="23"/>
  <c r="R99" i="23"/>
  <c r="Q99" i="23"/>
  <c r="K99" i="23"/>
  <c r="J99" i="23"/>
  <c r="N99" i="23"/>
  <c r="O99" i="23"/>
  <c r="O97" i="23"/>
  <c r="N97" i="23"/>
  <c r="M97" i="23"/>
  <c r="R97" i="23"/>
  <c r="J97" i="23"/>
  <c r="K97" i="23"/>
  <c r="Q97" i="23"/>
  <c r="N91" i="23"/>
  <c r="L125" i="23"/>
  <c r="J59" i="23"/>
  <c r="O59" i="23"/>
  <c r="Q59" i="23"/>
  <c r="K59" i="23"/>
  <c r="M59" i="23"/>
  <c r="R59" i="23"/>
  <c r="N59" i="23"/>
  <c r="F66" i="23"/>
  <c r="G110" i="23"/>
  <c r="F110" i="23" s="1"/>
  <c r="F103" i="23"/>
  <c r="G108" i="23"/>
  <c r="F108" i="23" s="1"/>
  <c r="M66" i="23" l="1"/>
  <c r="R66" i="23"/>
  <c r="Q66" i="23"/>
  <c r="K66" i="23"/>
  <c r="N66" i="23"/>
  <c r="O66" i="23"/>
  <c r="J66" i="23"/>
  <c r="M108" i="23"/>
  <c r="F120" i="23"/>
  <c r="R108" i="23"/>
  <c r="Q108" i="23"/>
  <c r="K108" i="23"/>
  <c r="J108" i="23"/>
  <c r="N108" i="23"/>
  <c r="O108" i="23"/>
  <c r="O103" i="23"/>
  <c r="N103" i="23"/>
  <c r="M103" i="23"/>
  <c r="R103" i="23"/>
  <c r="J103" i="23"/>
  <c r="Q103" i="23"/>
  <c r="K103" i="23"/>
  <c r="J110" i="23"/>
  <c r="O110" i="23"/>
  <c r="Q110" i="23"/>
  <c r="K110" i="23"/>
  <c r="R110" i="23"/>
  <c r="N93" i="23"/>
  <c r="M93" i="23"/>
  <c r="L110" i="23"/>
  <c r="N110" i="23" s="1"/>
  <c r="M110" i="23" l="1"/>
</calcChain>
</file>

<file path=xl/sharedStrings.xml><?xml version="1.0" encoding="utf-8"?>
<sst xmlns="http://schemas.openxmlformats.org/spreadsheetml/2006/main" count="984" uniqueCount="262">
  <si>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</si>
  <si>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</si>
  <si>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</si>
  <si>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</si>
  <si>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</si>
  <si>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</si>
  <si>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</si>
  <si>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</si>
  <si>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</si>
  <si>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</si>
  <si>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</si>
  <si>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</si>
  <si>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</si>
  <si>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</si>
  <si>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</si>
  <si>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</si>
  <si>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</si>
  <si>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</si>
  <si>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</si>
  <si>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</si>
  <si>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</si>
  <si>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</si>
  <si>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</si>
  <si>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</si>
  <si>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</si>
  <si>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</si>
  <si>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</si>
  <si>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</si>
  <si>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</si>
  <si>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</si>
  <si>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</si>
  <si>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</si>
  <si>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</si>
  <si>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</si>
  <si>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</si>
  <si>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</si>
  <si>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</si>
  <si>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</si>
  <si>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</si>
  <si>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</si>
  <si>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</si>
  <si>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</si>
  <si>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</si>
  <si>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</si>
  <si>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</si>
  <si>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</si>
  <si>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</si>
  <si>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</si>
  <si>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</si>
  <si>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</si>
  <si>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</si>
  <si>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</si>
  <si>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</si>
  <si>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</si>
  <si>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</si>
  <si>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</si>
  <si>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</si>
  <si>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</si>
  <si>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</si>
  <si>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</si>
  <si>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</si>
  <si>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</si>
  <si>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</si>
  <si>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</si>
  <si>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</si>
  <si>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</si>
  <si>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</si>
  <si>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Власні і закріплені доходи
(без власних надходжень бюджетних установ ККД 25000000)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</si>
  <si>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</si>
  <si>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</si>
  <si>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</si>
  <si>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</si>
  <si>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</si>
  <si>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</si>
  <si>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</si>
  <si>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</si>
  <si>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</si>
  <si>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</si>
  <si>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</si>
  <si>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</si>
  <si>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</si>
  <si>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</si>
  <si>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</si>
  <si>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</si>
  <si>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</si>
  <si>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</si>
  <si>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</si>
  <si>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</si>
  <si>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</si>
  <si>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</si>
  <si>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</si>
  <si>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</si>
  <si>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</si>
  <si>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</si>
  <si>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</si>
  <si>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</si>
  <si>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</si>
  <si>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</si>
  <si>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</si>
  <si>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</si>
  <si>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</si>
  <si>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</si>
  <si>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</si>
  <si>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</si>
  <si>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</si>
  <si>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</si>
  <si>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</si>
  <si>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</si>
  <si>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</si>
  <si>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</si>
  <si>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</si>
  <si>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</si>
  <si>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</si>
  <si>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</si>
  <si>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</si>
  <si>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</si>
  <si>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</si>
  <si>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</si>
  <si>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</si>
  <si>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</si>
  <si>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</si>
  <si>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</si>
  <si>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</si>
  <si>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</si>
  <si>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</si>
  <si>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</si>
  <si>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</si>
  <si>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</si>
  <si>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</si>
  <si>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</si>
  <si>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</si>
  <si>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</si>
  <si>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</si>
  <si>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</si>
  <si>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</si>
  <si>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</si>
  <si>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</si>
  <si>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</si>
  <si>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</si>
  <si>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</si>
  <si>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</si>
  <si>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</si>
  <si>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</si>
  <si>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</si>
  <si>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</si>
  <si>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Надійшло за січень 2021р.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</si>
  <si>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</si>
  <si>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</si>
  <si>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</si>
  <si>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</si>
  <si>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</si>
  <si>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</si>
  <si>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</si>
  <si>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</si>
  <si>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</si>
  <si>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</si>
  <si>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13.1.</t>
  </si>
  <si>
    <t>13.2.</t>
  </si>
  <si>
    <t>13.3.</t>
  </si>
  <si>
    <t>13.4.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</si>
  <si>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</si>
  <si>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</si>
  <si>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</si>
  <si>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</si>
  <si>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</si>
  <si>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</si>
  <si>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Відхилення факту січня 2022р. від факту січня 2021р.</t>
  </si>
  <si>
    <t>Бюджет 
на 2022 рік</t>
  </si>
  <si>
    <t>Надійшло за січень 2022р.</t>
  </si>
  <si>
    <t>План на січень 2022 року</t>
  </si>
  <si>
    <t>Відхилення надходжень до бюджету на січень 2022 року</t>
  </si>
  <si>
    <t xml:space="preserve">Відхилення надходжень до бюджету на січень 2022 року (розрахунковий) </t>
  </si>
  <si>
    <t>% виконання до плану на 2022р. (норма 8,3%)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</si>
  <si>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</si>
  <si>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</si>
  <si>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</si>
  <si>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</si>
  <si>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</si>
  <si>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Власні і закріплені доходи 
(без власних надходжень бюджетних установ ККД 25000000) 
+освітня субвенція+реверсна дотація</t>
  </si>
  <si>
    <t>План на січень 2022р. (розрахунковий)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</si>
  <si>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</si>
  <si>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</si>
  <si>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Податок та збір на доходи фізичних осіб (2021 рік в співставних умовах 64%)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</si>
  <si>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дозволу...</t>
  </si>
  <si>
    <t>Всього власних доходів</t>
  </si>
  <si>
    <t>Всього власних доходів 
(2021 рік в співставних умовах ПДФО 64%)</t>
  </si>
  <si>
    <t>Аналіз виконання бюджету Вінницької міської територіальної громади за січень - лютий 2022 року (за оперативними даними)</t>
  </si>
  <si>
    <t>лютий</t>
  </si>
  <si>
    <t>Надійшло за січень - лютий 2022р.</t>
  </si>
  <si>
    <t>План на січень - лютий 2022 року</t>
  </si>
  <si>
    <t>Відхилення надходжень до бюджету на січень - лютий 2022 року</t>
  </si>
  <si>
    <t>План на січень - лютий 2022р. (розрахунковий)</t>
  </si>
  <si>
    <t xml:space="preserve">Відхилення надходжень до бюджету на січень - лютий 2022 року (розрахунковий) </t>
  </si>
  <si>
    <t>% виконання до плану на 2022р. (норма 16,7%)</t>
  </si>
  <si>
    <t>Відхилення факту січня - лютого 2022р. від факту січня - лютого 2021р.</t>
  </si>
  <si>
    <t>Надійшло за січень - лютий 2021р.</t>
  </si>
  <si>
    <t xml:space="preserve">Місцеві податки, нараховані до 1 січня 2011 року   </t>
  </si>
  <si>
    <t>16012200</t>
  </si>
  <si>
    <t>12020900</t>
  </si>
  <si>
    <t>19050200</t>
  </si>
  <si>
    <t xml:space="preserve">Податок з власників наземних, водних транспортних засобів та інших самохідних машин і механізмів   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</si>
  <si>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</si>
  <si>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8.1.</t>
  </si>
  <si>
    <t>8.2.</t>
  </si>
  <si>
    <t>8.3.</t>
  </si>
  <si>
    <t>8.4.</t>
  </si>
  <si>
    <r>
      <t xml:space="preserve">Податок та збір на доходи фізичних осіб (2021 рік в </t>
    </r>
    <r>
      <rPr>
        <b/>
        <u/>
        <sz val="15"/>
        <rFont val="Times New Roman"/>
        <family val="1"/>
        <charset val="204"/>
      </rPr>
      <t>співставних умовах 64%)</t>
    </r>
  </si>
  <si>
    <r>
      <t xml:space="preserve">Аналіз виконання бюджету Вінницької міської територіальної громади за січень - лютий 2022 року (за оперативними даними, </t>
    </r>
    <r>
      <rPr>
        <b/>
        <u/>
        <sz val="24"/>
        <rFont val="Times New Roman Cyr"/>
        <charset val="204"/>
      </rPr>
      <t>в співставних умовах ПДФО 64%</t>
    </r>
    <r>
      <rPr>
        <b/>
        <sz val="24"/>
        <rFont val="Times New Roman Cyr"/>
        <family val="1"/>
        <charset val="204"/>
      </rPr>
      <t>)</t>
    </r>
  </si>
  <si>
    <t>6.5.</t>
  </si>
  <si>
    <t>15.1.</t>
  </si>
  <si>
    <t>15.2.</t>
  </si>
  <si>
    <t>15.3.</t>
  </si>
  <si>
    <t>15.4.</t>
  </si>
  <si>
    <t>Надійшло за січень - березень 2022р.</t>
  </si>
  <si>
    <t>березень</t>
  </si>
  <si>
    <t>План на січень - березень 2022 року</t>
  </si>
  <si>
    <t>Відхилення надходжень до бюджету на січень - березень 2022 року</t>
  </si>
  <si>
    <t>План на січень - березень 2022р. (розрахунковий)</t>
  </si>
  <si>
    <t xml:space="preserve">Відхилення надходжень до бюджету на січень - березень 2022 року (розрахунковий) </t>
  </si>
  <si>
    <t>% виконання до плану на 2022р. (норма 25,0%)</t>
  </si>
  <si>
    <t>Надійшло за січень - березень 2021р.</t>
  </si>
  <si>
    <t>Відхилення факту січня - березня 2022р. від факту січня - березня 2021р.</t>
  </si>
  <si>
    <r>
      <t xml:space="preserve">*субвенція з обласного бюджету на компенсаційні виплати </t>
    </r>
    <r>
      <rPr>
        <b/>
        <i/>
        <u/>
        <sz val="14"/>
        <rFont val="Times New Roman Cyr"/>
        <charset val="204"/>
      </rPr>
      <t>за пільговий проїзд окремих категорій громадян на міжміських внутрішньообласних маршрутах</t>
    </r>
    <r>
      <rPr>
        <i/>
        <sz val="14"/>
        <rFont val="Times New Roman Cyr"/>
        <charset val="204"/>
      </rPr>
      <t xml:space="preserve"> загального користування</t>
    </r>
  </si>
  <si>
    <t>Всього власних доходів 
(без власних надходжень бюджетних установ ККД 25000000)</t>
  </si>
  <si>
    <t>Власні доходи
(без власних надходжень бюджетних установ ККД 25000000)</t>
  </si>
  <si>
    <t>Власні доходи 
(без власних надходжень бюджетних установ ККД 25000000) 
+освітня субвенція+реверсна дотація</t>
  </si>
  <si>
    <t>ВСЬОГО трансфертів:</t>
  </si>
  <si>
    <t>Аналіз виконання бюджету Вінницької міської територіальної громади за січень - березень 2022 року (за оперативними даними, в співставних умовах ПДФО 64%))</t>
  </si>
  <si>
    <t>Надійшло за січень - квітень 2022р.</t>
  </si>
  <si>
    <t>квітень</t>
  </si>
  <si>
    <t>План на січень - квітень 2022 року</t>
  </si>
  <si>
    <t>Відхилення надходжень до бюджету на січень - квітень 2022 року</t>
  </si>
  <si>
    <t>План на січень - квітень 2022р. (розрахунковий)</t>
  </si>
  <si>
    <t xml:space="preserve">Відхилення надходжень до бюджету на січень - квітень 2022 року (розрахунковий) </t>
  </si>
  <si>
    <t>Надійшло за січень - квітень 2021р.</t>
  </si>
  <si>
    <t>Відхилення факту січня - квітень 2022р. від факту січня - квітень 2021р.</t>
  </si>
  <si>
    <t>% виконання до плану на 2022р. (норма 33,3%)</t>
  </si>
  <si>
    <t>Аналіз виконання бюджету Вінницької міської територіальної громади за січень - квітень 2022 року (в співставних умовах ПДФО 64%)</t>
  </si>
  <si>
    <t>травень</t>
  </si>
  <si>
    <t>Надійшло за січень - травень 2022р.</t>
  </si>
  <si>
    <t>План на січень - травень 2022 року</t>
  </si>
  <si>
    <t>Відхилення надходжень до бюджету на січень - травень 2022 року</t>
  </si>
  <si>
    <t>План на січень - травень 2022р. (розрахунковий)</t>
  </si>
  <si>
    <t xml:space="preserve">Відхилення надходжень до бюджету на січень - травень 2022 року (розрахунковий) </t>
  </si>
  <si>
    <t>Надійшло за січень - травень 2021р.</t>
  </si>
  <si>
    <t>Відхилення факту січня - травень 2022р. від факту січня - травень 2021р.</t>
  </si>
  <si>
    <t>% виконання до плану на 2022р. (норма 41,7%)</t>
  </si>
  <si>
    <t>41034500</t>
  </si>
  <si>
    <t>7.1.</t>
  </si>
  <si>
    <t>7.2.</t>
  </si>
  <si>
    <t>7.3.</t>
  </si>
  <si>
    <t>7.4.</t>
  </si>
  <si>
    <t>7.5.</t>
  </si>
  <si>
    <t>7.6.</t>
  </si>
  <si>
    <t>Уточнений бюджет на 2022 рік</t>
  </si>
  <si>
    <t>Аналіз виконання бюджету Вінницької міської територіальної громади за січень - травень 2022 року (за оперативними даними)</t>
  </si>
  <si>
    <t xml:space="preserve">запланований відсоток приросту у 2022 році </t>
  </si>
  <si>
    <t xml:space="preserve">запланований відсоток приросту / зменшення у 2022 році </t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</si>
  <si>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здійснення заходів щодо соціально-економічного розвитку</t>
    </r>
    <r>
      <rPr>
        <sz val="15"/>
        <rFont val="Times New Roman"/>
        <family val="1"/>
        <charset val="204"/>
      </rPr>
      <t xml:space="preserve"> окремих територій</t>
    </r>
  </si>
  <si>
    <r>
      <rPr>
        <b/>
        <u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</si>
  <si>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t xml:space="preserve">*субвенція з обласного бюджету на компенсаційні виплати </t>
    </r>
    <r>
      <rPr>
        <b/>
        <i/>
        <u/>
        <sz val="15"/>
        <rFont val="Times New Roman Cyr"/>
        <charset val="204"/>
      </rPr>
      <t>за пільговий проїзд окремих категорій громадян на міжміських внутрішньообласних маршрутах</t>
    </r>
    <r>
      <rPr>
        <i/>
        <sz val="15"/>
        <rFont val="Times New Roman Cyr"/>
        <charset val="204"/>
      </rPr>
      <t xml:space="preserve"> загального користування</t>
    </r>
  </si>
  <si>
    <r>
      <t xml:space="preserve">*субвенція з </t>
    </r>
    <r>
      <rPr>
        <b/>
        <i/>
        <u/>
        <sz val="15"/>
        <rFont val="Times New Roman Cyr"/>
        <charset val="204"/>
      </rPr>
      <t xml:space="preserve">бюджету Вороновицької </t>
    </r>
    <r>
      <rPr>
        <i/>
        <sz val="15"/>
        <rFont val="Times New Roman Cyr"/>
        <charset val="204"/>
      </rPr>
      <t xml:space="preserve">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</t>
    </r>
    <r>
      <rPr>
        <b/>
        <i/>
        <u/>
        <sz val="15"/>
        <rFont val="Times New Roman Cyr"/>
        <charset val="204"/>
      </rPr>
      <t>КНП «Вінницька клінічна багатопрофільна лікарня» Вінницької міської ради,</t>
    </r>
    <r>
      <rPr>
        <i/>
        <sz val="15"/>
        <rFont val="Times New Roman Cyr"/>
        <charset val="204"/>
      </rPr>
      <t xml:space="preserve"> яка знаходиться за адресою: Вінницька область, смт Вороновиця, вул. Гагаріна, буд.20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</si>
</sst>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52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u/>
      <sz val="24"/>
      <name val="Times New Roman Cyr"/>
      <charset val="204"/>
    </font>
    <font>
      <b/>
      <i/>
      <u/>
      <sz val="14"/>
      <name val="Times New Roman Cyr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251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vertical="center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vertical="center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0" fontId="33" fillId="0" borderId="1" xfId="3" applyFont="1" applyFill="1" applyBorder="1" applyAlignment="1">
      <alignment horizontal="center" vertical="center" wrapText="1"/>
    </xf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7" fontId="31" fillId="0" borderId="0" xfId="3" applyNumberFormat="1" applyFont="1" applyFill="1"/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0" fontId="38" fillId="0" borderId="1" xfId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7" fontId="31" fillId="2" borderId="0" xfId="3" applyNumberFormat="1" applyFont="1" applyFill="1"/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8" fontId="39" fillId="0" borderId="1" xfId="1" applyNumberFormat="1" applyFont="1" applyFill="1" applyBorder="1" applyAlignment="1">
      <alignment horizontal="center" vertical="center" wrapText="1"/>
    </xf>
    <xf numFmtId="167" fontId="39" fillId="2" borderId="1" xfId="1" applyNumberFormat="1" applyFont="1" applyFill="1" applyBorder="1" applyAlignment="1">
      <alignment horizontal="center" vertical="center" wrapText="1"/>
    </xf>
    <xf numFmtId="167" fontId="39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1" fillId="0" borderId="1" xfId="2" applyNumberFormat="1" applyFont="1" applyFill="1" applyBorder="1" applyAlignment="1">
      <alignment horizontal="left" vertical="center" wrapText="1"/>
    </xf>
    <xf numFmtId="0" fontId="41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1" fillId="0" borderId="1" xfId="3" applyNumberFormat="1" applyFont="1" applyFill="1" applyBorder="1" applyAlignment="1">
      <alignment horizontal="left" vertical="center" wrapText="1" shrinkToFi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4" fillId="0" borderId="1" xfId="3" applyNumberFormat="1" applyFont="1" applyFill="1" applyBorder="1" applyAlignment="1">
      <alignment horizontal="left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6" fillId="2" borderId="1" xfId="1" applyFont="1" applyFill="1" applyBorder="1" applyAlignment="1">
      <alignment horizontal="center" vertical="center"/>
    </xf>
    <xf numFmtId="0" fontId="47" fillId="2" borderId="1" xfId="1" applyFont="1" applyFill="1" applyBorder="1" applyAlignment="1">
      <alignment horizontal="center" vertical="center" wrapText="1"/>
    </xf>
    <xf numFmtId="165" fontId="47" fillId="2" borderId="1" xfId="1" applyNumberFormat="1" applyFont="1" applyFill="1" applyBorder="1" applyAlignment="1">
      <alignment horizontal="center" vertical="center" wrapText="1"/>
    </xf>
    <xf numFmtId="166" fontId="47" fillId="2" borderId="1" xfId="1" applyNumberFormat="1" applyFont="1" applyFill="1" applyBorder="1" applyAlignment="1">
      <alignment horizontal="center" vertical="center" wrapText="1"/>
    </xf>
    <xf numFmtId="166" fontId="47" fillId="2" borderId="1" xfId="3" applyNumberFormat="1" applyFont="1" applyFill="1" applyBorder="1" applyAlignment="1">
      <alignment horizontal="center" vertical="center"/>
    </xf>
    <xf numFmtId="164" fontId="47" fillId="2" borderId="1" xfId="3" applyNumberFormat="1" applyFont="1" applyFill="1" applyBorder="1" applyAlignment="1">
      <alignment horizontal="center" vertical="center"/>
    </xf>
    <xf numFmtId="166" fontId="46" fillId="2" borderId="0" xfId="1" applyNumberFormat="1" applyFont="1" applyFill="1" applyBorder="1"/>
    <xf numFmtId="0" fontId="46" fillId="2" borderId="0" xfId="1" applyFont="1" applyFill="1" applyBorder="1"/>
    <xf numFmtId="49" fontId="47" fillId="2" borderId="1" xfId="1" applyNumberFormat="1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 wrapText="1"/>
    </xf>
    <xf numFmtId="49" fontId="47" fillId="0" borderId="1" xfId="1" applyNumberFormat="1" applyFont="1" applyFill="1" applyBorder="1" applyAlignment="1">
      <alignment horizontal="center" vertical="center" wrapText="1"/>
    </xf>
    <xf numFmtId="166" fontId="47" fillId="0" borderId="1" xfId="1" applyNumberFormat="1" applyFont="1" applyFill="1" applyBorder="1" applyAlignment="1">
      <alignment horizontal="center" vertical="center" wrapText="1"/>
    </xf>
    <xf numFmtId="166" fontId="47" fillId="0" borderId="1" xfId="3" applyNumberFormat="1" applyFont="1" applyFill="1" applyBorder="1" applyAlignment="1">
      <alignment horizontal="center" vertical="center"/>
    </xf>
    <xf numFmtId="164" fontId="47" fillId="0" borderId="1" xfId="3" applyNumberFormat="1" applyFont="1" applyFill="1" applyBorder="1" applyAlignment="1">
      <alignment horizontal="center" vertical="center"/>
    </xf>
    <xf numFmtId="0" fontId="46" fillId="0" borderId="0" xfId="1" applyFont="1" applyFill="1" applyBorder="1"/>
    <xf numFmtId="0" fontId="46" fillId="2" borderId="1" xfId="1" applyFont="1" applyFill="1" applyBorder="1" applyAlignment="1">
      <alignment vertical="center"/>
    </xf>
    <xf numFmtId="0" fontId="46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2" fillId="0" borderId="1" xfId="1" applyNumberFormat="1" applyFont="1" applyFill="1" applyBorder="1" applyAlignment="1">
      <alignment horizontal="center" vertical="center"/>
    </xf>
    <xf numFmtId="49" fontId="48" fillId="0" borderId="1" xfId="1" applyNumberFormat="1" applyFont="1" applyFill="1" applyBorder="1" applyAlignment="1">
      <alignment horizontal="center" vertical="center"/>
    </xf>
    <xf numFmtId="49" fontId="40" fillId="0" borderId="1" xfId="1" applyNumberFormat="1" applyFont="1" applyFill="1" applyBorder="1" applyAlignment="1">
      <alignment horizontal="center" vertical="center" wrapText="1"/>
    </xf>
    <xf numFmtId="0" fontId="48" fillId="0" borderId="0" xfId="1" applyFont="1" applyFill="1" applyBorder="1"/>
    <xf numFmtId="49" fontId="41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41" fillId="0" borderId="1" xfId="2" applyNumberFormat="1" applyFont="1" applyFill="1" applyBorder="1" applyAlignment="1">
      <alignment horizontal="center" vertical="center" wrapTex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vertical="center" wrapText="1"/>
    </xf>
    <xf numFmtId="49" fontId="23" fillId="0" borderId="2" xfId="3" applyNumberFormat="1" applyFont="1" applyFill="1" applyBorder="1" applyAlignment="1">
      <alignment vertical="center" wrapText="1"/>
    </xf>
    <xf numFmtId="49" fontId="23" fillId="0" borderId="4" xfId="3" applyNumberFormat="1" applyFont="1" applyFill="1" applyBorder="1" applyAlignment="1">
      <alignment vertical="center" wrapText="1"/>
    </xf>
    <xf numFmtId="49" fontId="23" fillId="0" borderId="5" xfId="3" applyNumberFormat="1" applyFont="1" applyFill="1" applyBorder="1" applyAlignment="1">
      <alignment vertical="center" wrapTex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167" fontId="31" fillId="0" borderId="1" xfId="3" applyNumberFormat="1" applyFont="1" applyFill="1" applyBorder="1"/>
    <xf numFmtId="167" fontId="31" fillId="2" borderId="1" xfId="3" applyNumberFormat="1" applyFont="1" applyFill="1" applyBorder="1"/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51" fillId="2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30" fillId="0" borderId="0" xfId="0" applyFont="1" applyFill="1" applyBorder="1"/>
    <xf numFmtId="49" fontId="23" fillId="0" borderId="1" xfId="3" applyNumberFormat="1" applyFont="1" applyFill="1" applyBorder="1" applyAlignment="1">
      <alignment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164" fontId="39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164" fontId="47" fillId="0" borderId="1" xfId="3" applyNumberFormat="1" applyFont="1" applyFill="1" applyBorder="1" applyAlignment="1">
      <alignment horizontal="center" vertical="center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fin.vmr.gov.ua/Documents/&#1042;&#1110;&#1076;&#1076;&#1110;&#1083;%20&#1076;&#1086;&#1093;&#1086;&#1076;&#1110;&#1074;%20&#1073;&#1102;&#1076;&#1078;&#1077;&#1090;&#1091;/&#1057;&#1077;&#1088;&#1074;&#1077;&#1090;&#1085;&#1080;&#1082;%20&#1052;&#1072;&#1082;&#1089;&#1080;&#1084;%20&#1052;&#1080;&#1082;&#1086;&#1083;&#1072;&#1081;&#1086;&#1074;&#1080;&#1095;/&#1040;&#1085;&#1072;&#1083;&#1110;&#1079;&#1080;/&#1065;&#1086;&#1084;&#1110;&#1089;&#1103;&#1095;&#1085;&#1110;/&#1040;&#1085;&#1072;&#1083;&#1110;&#1079;%202021%20&#1088;&#1110;&#1082;/03%20&#1040;&#1085;&#1072;&#1083;&#1110;&#1079;%20&#1079;&#1072;%203%20&#1084;&#1110;&#1089;&#1103;&#1094;&#1110;%202021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1 короткий"/>
    </sheetNames>
    <sheetDataSet>
      <sheetData sheetId="0">
        <row r="29">
          <cell r="I29">
            <v>893.96699999999998</v>
          </cell>
        </row>
        <row r="33">
          <cell r="I33">
            <v>2556.277</v>
          </cell>
        </row>
        <row r="38">
          <cell r="I38">
            <v>1008.902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9"/>
  <sheetViews>
    <sheetView showGridLines="0" tabSelected="1" view="pageBreakPreview" zoomScale="60" zoomScaleNormal="75" workbookViewId="0">
      <pane xSplit="3" ySplit="6" topLeftCell="D78" activePane="bottomRight" state="frozen"/>
      <selection pane="topRight" activeCell="D1" sqref="D1"/>
      <selection pane="bottomLeft" activeCell="A7" sqref="A7"/>
      <selection pane="bottomRight" activeCell="V94" sqref="V94"/>
    </sheetView>
  </sheetViews>
  <sheetFormatPr defaultRowHeight="12.75" x14ac:dyDescent="0.2"/>
  <cols>
    <col min="1" max="1" width="12.28515625" style="20" customWidth="1"/>
    <col min="2" max="2" width="131" style="20" customWidth="1"/>
    <col min="3" max="3" width="16.140625" style="20" customWidth="1"/>
    <col min="4" max="4" width="23.5703125" style="20" customWidth="1"/>
    <col min="5" max="5" width="27.28515625" style="20" customWidth="1"/>
    <col min="6" max="6" width="23.140625" style="33" customWidth="1"/>
    <col min="7" max="11" width="21.28515625" style="3" hidden="1" customWidth="1"/>
    <col min="12" max="12" width="24" style="3" hidden="1" customWidth="1"/>
    <col min="13" max="13" width="22.5703125" style="1" hidden="1" customWidth="1"/>
    <col min="14" max="14" width="14.140625" style="1" hidden="1" customWidth="1"/>
    <col min="15" max="15" width="23.85546875" style="1" hidden="1" customWidth="1"/>
    <col min="16" max="16" width="25.7109375" style="1" hidden="1" customWidth="1"/>
    <col min="17" max="17" width="14.7109375" style="1" hidden="1" customWidth="1"/>
    <col min="18" max="18" width="16.140625" style="1" customWidth="1"/>
    <col min="19" max="19" width="23.140625" style="33" customWidth="1"/>
    <col min="20" max="20" width="21.85546875" style="1" customWidth="1"/>
    <col min="21" max="21" width="10.140625" style="3" bestFit="1" customWidth="1"/>
    <col min="22" max="22" width="18" style="3" customWidth="1"/>
    <col min="23" max="23" width="24.140625" style="3" hidden="1" customWidth="1"/>
    <col min="24" max="25" width="15.85546875" style="3" hidden="1" customWidth="1"/>
    <col min="26" max="26" width="12.28515625" style="3" hidden="1" customWidth="1"/>
    <col min="27" max="27" width="21.28515625" style="3" hidden="1" customWidth="1"/>
    <col min="28" max="28" width="0" style="3" hidden="1" customWidth="1"/>
    <col min="29" max="29" width="18.7109375" style="3" bestFit="1" customWidth="1"/>
    <col min="30" max="30" width="16.42578125" style="3" hidden="1" customWidth="1"/>
    <col min="31" max="31" width="10.42578125" style="3" customWidth="1"/>
    <col min="32" max="32" width="13.28515625" style="3" customWidth="1"/>
    <col min="33" max="16384" width="9.140625" style="3"/>
  </cols>
  <sheetData>
    <row r="1" spans="1:37" ht="30" customHeight="1" x14ac:dyDescent="0.2">
      <c r="A1" s="231" t="s">
        <v>255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17"/>
    </row>
    <row r="2" spans="1:37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L2" s="107"/>
      <c r="S2" s="107"/>
      <c r="T2" s="5" t="s">
        <v>14</v>
      </c>
      <c r="U2" s="5"/>
      <c r="V2" s="5"/>
    </row>
    <row r="3" spans="1:37" s="73" customFormat="1" ht="15" customHeight="1" x14ac:dyDescent="0.25">
      <c r="A3" s="232" t="s">
        <v>0</v>
      </c>
      <c r="B3" s="233" t="s">
        <v>1</v>
      </c>
      <c r="C3" s="233" t="s">
        <v>2</v>
      </c>
      <c r="D3" s="229" t="s">
        <v>167</v>
      </c>
      <c r="E3" s="229" t="s">
        <v>254</v>
      </c>
      <c r="F3" s="230" t="s">
        <v>239</v>
      </c>
      <c r="G3" s="229" t="s">
        <v>65</v>
      </c>
      <c r="H3" s="229" t="s">
        <v>187</v>
      </c>
      <c r="I3" s="229" t="s">
        <v>214</v>
      </c>
      <c r="J3" s="229" t="s">
        <v>238</v>
      </c>
      <c r="K3" s="229" t="s">
        <v>238</v>
      </c>
      <c r="L3" s="229" t="s">
        <v>240</v>
      </c>
      <c r="M3" s="229" t="s">
        <v>241</v>
      </c>
      <c r="N3" s="229" t="s">
        <v>3</v>
      </c>
      <c r="O3" s="229" t="s">
        <v>242</v>
      </c>
      <c r="P3" s="229" t="s">
        <v>243</v>
      </c>
      <c r="Q3" s="229" t="s">
        <v>3</v>
      </c>
      <c r="R3" s="222" t="s">
        <v>246</v>
      </c>
      <c r="S3" s="230" t="s">
        <v>244</v>
      </c>
      <c r="T3" s="229" t="s">
        <v>245</v>
      </c>
      <c r="U3" s="229" t="s">
        <v>3</v>
      </c>
      <c r="V3" s="222" t="s">
        <v>257</v>
      </c>
    </row>
    <row r="4" spans="1:37" s="73" customFormat="1" ht="79.5" customHeight="1" x14ac:dyDescent="0.25">
      <c r="A4" s="232"/>
      <c r="B4" s="233"/>
      <c r="C4" s="233"/>
      <c r="D4" s="229"/>
      <c r="E4" s="229"/>
      <c r="F4" s="230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2"/>
      <c r="S4" s="230"/>
      <c r="T4" s="229"/>
      <c r="U4" s="229"/>
      <c r="V4" s="222"/>
    </row>
    <row r="5" spans="1:37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K5" si="0">D5+1</f>
        <v>5</v>
      </c>
      <c r="F5" s="76">
        <f t="shared" si="0"/>
        <v>6</v>
      </c>
      <c r="G5" s="75">
        <f t="shared" si="0"/>
        <v>7</v>
      </c>
      <c r="H5" s="75">
        <f t="shared" si="0"/>
        <v>8</v>
      </c>
      <c r="I5" s="75">
        <f t="shared" si="0"/>
        <v>9</v>
      </c>
      <c r="J5" s="75">
        <f t="shared" si="0"/>
        <v>10</v>
      </c>
      <c r="K5" s="75">
        <f t="shared" si="0"/>
        <v>11</v>
      </c>
      <c r="L5" s="75">
        <v>7</v>
      </c>
      <c r="M5" s="75">
        <f t="shared" ref="M5:Q5" si="1">L5+1</f>
        <v>8</v>
      </c>
      <c r="N5" s="75">
        <f t="shared" si="1"/>
        <v>9</v>
      </c>
      <c r="O5" s="75">
        <f t="shared" si="1"/>
        <v>10</v>
      </c>
      <c r="P5" s="75">
        <f t="shared" si="1"/>
        <v>11</v>
      </c>
      <c r="Q5" s="75">
        <f t="shared" si="1"/>
        <v>12</v>
      </c>
      <c r="R5" s="75">
        <v>7</v>
      </c>
      <c r="S5" s="76">
        <f t="shared" ref="S5:V5" si="2">R5+1</f>
        <v>8</v>
      </c>
      <c r="T5" s="75">
        <f t="shared" si="2"/>
        <v>9</v>
      </c>
      <c r="U5" s="75">
        <f t="shared" si="2"/>
        <v>10</v>
      </c>
      <c r="V5" s="75">
        <f t="shared" si="2"/>
        <v>11</v>
      </c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</row>
    <row r="6" spans="1:37" s="79" customFormat="1" ht="26.25" customHeight="1" x14ac:dyDescent="0.2">
      <c r="A6" s="235" t="s">
        <v>6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21"/>
    </row>
    <row r="7" spans="1:37" s="84" customFormat="1" ht="33.75" customHeight="1" x14ac:dyDescent="0.25">
      <c r="A7" s="80">
        <v>1</v>
      </c>
      <c r="B7" s="89" t="s">
        <v>70</v>
      </c>
      <c r="C7" s="81" t="s">
        <v>15</v>
      </c>
      <c r="D7" s="128">
        <v>2859393.46</v>
      </c>
      <c r="E7" s="128">
        <f>D7</f>
        <v>2859393.46</v>
      </c>
      <c r="F7" s="129">
        <f>SUM(G7:K7)</f>
        <v>1121246.324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30">
        <v>1083786.9580000001</v>
      </c>
      <c r="M7" s="131">
        <f t="shared" ref="M7:M59" si="3">F7-L7</f>
        <v>37459.365999999922</v>
      </c>
      <c r="N7" s="132">
        <f>F7/L7*100</f>
        <v>103.45634035577682</v>
      </c>
      <c r="O7" s="131">
        <f>D7/12*5</f>
        <v>1191413.9416666667</v>
      </c>
      <c r="P7" s="131">
        <f t="shared" ref="P7:P59" si="4">F7-O7</f>
        <v>-70167.617666666629</v>
      </c>
      <c r="Q7" s="132">
        <f t="shared" ref="Q7:Q39" si="5">F7/O7*100</f>
        <v>94.110559293228576</v>
      </c>
      <c r="R7" s="132">
        <f>F7/E7*100</f>
        <v>39.212733038845236</v>
      </c>
      <c r="S7" s="129">
        <v>896515.37700000009</v>
      </c>
      <c r="T7" s="131">
        <f t="shared" ref="T7:T59" si="6">F7-S7</f>
        <v>224730.94699999993</v>
      </c>
      <c r="U7" s="132">
        <f>F7/S7*100</f>
        <v>125.06716033717289</v>
      </c>
      <c r="V7" s="132">
        <v>120.1</v>
      </c>
      <c r="W7" s="82"/>
      <c r="X7" s="82"/>
      <c r="Y7" s="82">
        <f>W7-X7</f>
        <v>0</v>
      </c>
      <c r="Z7" s="83" t="e">
        <f>W7/X7*100</f>
        <v>#DIV/0!</v>
      </c>
    </row>
    <row r="8" spans="1:37" s="84" customFormat="1" ht="33.75" customHeight="1" x14ac:dyDescent="0.25">
      <c r="A8" s="80">
        <f>A7+1</f>
        <v>2</v>
      </c>
      <c r="B8" s="89" t="s">
        <v>38</v>
      </c>
      <c r="C8" s="81" t="s">
        <v>17</v>
      </c>
      <c r="D8" s="128">
        <v>1010</v>
      </c>
      <c r="E8" s="128">
        <f t="shared" ref="E8:E45" si="7">D8</f>
        <v>1010</v>
      </c>
      <c r="F8" s="129">
        <f t="shared" ref="F8:F67" si="8">SUM(G8:K8)</f>
        <v>427.86699999999996</v>
      </c>
      <c r="G8" s="128">
        <v>2.6560000000000001</v>
      </c>
      <c r="H8" s="128">
        <v>179.74199999999999</v>
      </c>
      <c r="I8" s="128">
        <v>86.79</v>
      </c>
      <c r="J8" s="128">
        <v>30.728999999999999</v>
      </c>
      <c r="K8" s="128">
        <v>127.95</v>
      </c>
      <c r="L8" s="130">
        <v>424.7</v>
      </c>
      <c r="M8" s="131">
        <f t="shared" si="3"/>
        <v>3.1669999999999732</v>
      </c>
      <c r="N8" s="132">
        <f>F8/L8*100</f>
        <v>100.74570284906991</v>
      </c>
      <c r="O8" s="131">
        <f>D8/12*5</f>
        <v>420.83333333333337</v>
      </c>
      <c r="P8" s="131">
        <f t="shared" si="4"/>
        <v>7.0336666666665906</v>
      </c>
      <c r="Q8" s="132">
        <f t="shared" si="5"/>
        <v>101.67136633663365</v>
      </c>
      <c r="R8" s="132">
        <f t="shared" ref="R8:R70" si="9">F8/E8*100</f>
        <v>42.36306930693069</v>
      </c>
      <c r="S8" s="129">
        <v>675.26200000000006</v>
      </c>
      <c r="T8" s="131">
        <f t="shared" si="6"/>
        <v>-247.3950000000001</v>
      </c>
      <c r="U8" s="132">
        <f>F8/S8*100</f>
        <v>63.363109430117483</v>
      </c>
      <c r="V8" s="132">
        <v>103.1</v>
      </c>
      <c r="W8" s="82"/>
      <c r="X8" s="82"/>
      <c r="Y8" s="82">
        <f>S7/0.5</f>
        <v>1793030.7540000002</v>
      </c>
      <c r="Z8" s="83">
        <f>X8/Y8*100</f>
        <v>0</v>
      </c>
    </row>
    <row r="9" spans="1:37" s="84" customFormat="1" ht="33.75" customHeight="1" x14ac:dyDescent="0.25">
      <c r="A9" s="80">
        <v>3</v>
      </c>
      <c r="B9" s="89" t="s">
        <v>112</v>
      </c>
      <c r="C9" s="81" t="s">
        <v>113</v>
      </c>
      <c r="D9" s="128">
        <f>SUM(D10:D13)</f>
        <v>484</v>
      </c>
      <c r="E9" s="128">
        <f t="shared" si="7"/>
        <v>484</v>
      </c>
      <c r="F9" s="129">
        <f t="shared" si="8"/>
        <v>254.81300000000005</v>
      </c>
      <c r="G9" s="128">
        <f t="shared" ref="G9:L9" si="10">SUM(G10:G13)</f>
        <v>1.3639999999999999</v>
      </c>
      <c r="H9" s="128">
        <f t="shared" si="10"/>
        <v>157.91800000000001</v>
      </c>
      <c r="I9" s="128">
        <f t="shared" si="10"/>
        <v>0.187</v>
      </c>
      <c r="J9" s="128">
        <f t="shared" si="10"/>
        <v>1.9410000000000001</v>
      </c>
      <c r="K9" s="128">
        <f t="shared" si="10"/>
        <v>93.403000000000006</v>
      </c>
      <c r="L9" s="128">
        <f t="shared" si="10"/>
        <v>244.02</v>
      </c>
      <c r="M9" s="131">
        <f t="shared" si="3"/>
        <v>10.793000000000035</v>
      </c>
      <c r="N9" s="132">
        <f>F9/L9*100</f>
        <v>104.42299811490862</v>
      </c>
      <c r="O9" s="131">
        <f t="shared" ref="O9:O45" si="11">D9/12*5</f>
        <v>201.66666666666669</v>
      </c>
      <c r="P9" s="131">
        <f t="shared" si="4"/>
        <v>53.146333333333359</v>
      </c>
      <c r="Q9" s="132">
        <f t="shared" si="5"/>
        <v>126.35355371900827</v>
      </c>
      <c r="R9" s="132">
        <f t="shared" si="9"/>
        <v>52.64731404958679</v>
      </c>
      <c r="S9" s="129">
        <f>SUM(S10:S13)</f>
        <v>213.32800000000003</v>
      </c>
      <c r="T9" s="131">
        <f t="shared" si="6"/>
        <v>41.485000000000014</v>
      </c>
      <c r="U9" s="132">
        <f>F9/S9*100</f>
        <v>119.44657991449787</v>
      </c>
      <c r="V9" s="132">
        <v>102.8</v>
      </c>
      <c r="W9" s="82"/>
      <c r="X9" s="82"/>
      <c r="Y9" s="82"/>
      <c r="Z9" s="83"/>
    </row>
    <row r="10" spans="1:37" s="84" customFormat="1" ht="39" x14ac:dyDescent="0.25">
      <c r="A10" s="85" t="s">
        <v>114</v>
      </c>
      <c r="B10" s="195" t="s">
        <v>173</v>
      </c>
      <c r="C10" s="200" t="s">
        <v>174</v>
      </c>
      <c r="D10" s="128">
        <v>23</v>
      </c>
      <c r="E10" s="128">
        <f t="shared" si="7"/>
        <v>23</v>
      </c>
      <c r="F10" s="134">
        <f t="shared" si="8"/>
        <v>8.76</v>
      </c>
      <c r="G10" s="128">
        <v>0</v>
      </c>
      <c r="H10" s="128">
        <v>4.5519999999999996</v>
      </c>
      <c r="I10" s="128">
        <v>0</v>
      </c>
      <c r="J10" s="128">
        <v>0</v>
      </c>
      <c r="K10" s="128">
        <v>4.2080000000000002</v>
      </c>
      <c r="L10" s="130">
        <v>5.3</v>
      </c>
      <c r="M10" s="131">
        <f t="shared" si="3"/>
        <v>3.46</v>
      </c>
      <c r="N10" s="137">
        <f t="shared" ref="N10:N11" si="12">F10/L10*100</f>
        <v>165.28301886792454</v>
      </c>
      <c r="O10" s="131">
        <f t="shared" si="11"/>
        <v>9.5833333333333339</v>
      </c>
      <c r="P10" s="131">
        <f t="shared" si="4"/>
        <v>-0.82333333333333414</v>
      </c>
      <c r="Q10" s="137">
        <f t="shared" si="5"/>
        <v>91.408695652173904</v>
      </c>
      <c r="R10" s="132">
        <f t="shared" si="9"/>
        <v>38.086956521739133</v>
      </c>
      <c r="S10" s="129">
        <v>13.062999999999999</v>
      </c>
      <c r="T10" s="131">
        <f t="shared" si="6"/>
        <v>-4.302999999999999</v>
      </c>
      <c r="U10" s="132">
        <f t="shared" ref="U10:U11" si="13">F10/S10*100</f>
        <v>67.059634080992112</v>
      </c>
      <c r="V10" s="132">
        <v>103.8</v>
      </c>
      <c r="W10" s="82"/>
      <c r="X10" s="82"/>
      <c r="Y10" s="82"/>
      <c r="Z10" s="83"/>
    </row>
    <row r="11" spans="1:37" s="88" customFormat="1" ht="58.5" x14ac:dyDescent="0.25">
      <c r="A11" s="85" t="s">
        <v>115</v>
      </c>
      <c r="B11" s="195" t="s">
        <v>107</v>
      </c>
      <c r="C11" s="72" t="s">
        <v>108</v>
      </c>
      <c r="D11" s="133">
        <v>160</v>
      </c>
      <c r="E11" s="133">
        <f t="shared" si="7"/>
        <v>160</v>
      </c>
      <c r="F11" s="134">
        <f t="shared" si="8"/>
        <v>127.988</v>
      </c>
      <c r="G11" s="133">
        <v>0</v>
      </c>
      <c r="H11" s="133">
        <v>69.736000000000004</v>
      </c>
      <c r="I11" s="133">
        <v>0</v>
      </c>
      <c r="J11" s="133">
        <v>0</v>
      </c>
      <c r="K11" s="133">
        <v>58.252000000000002</v>
      </c>
      <c r="L11" s="135">
        <v>124.7</v>
      </c>
      <c r="M11" s="136">
        <f t="shared" si="3"/>
        <v>3.2879999999999967</v>
      </c>
      <c r="N11" s="137">
        <f t="shared" si="12"/>
        <v>102.63672814755414</v>
      </c>
      <c r="O11" s="136">
        <f t="shared" si="11"/>
        <v>66.666666666666671</v>
      </c>
      <c r="P11" s="136">
        <f t="shared" si="4"/>
        <v>61.321333333333328</v>
      </c>
      <c r="Q11" s="137">
        <f t="shared" si="5"/>
        <v>191.982</v>
      </c>
      <c r="R11" s="137">
        <f t="shared" si="9"/>
        <v>79.992500000000007</v>
      </c>
      <c r="S11" s="134">
        <v>67.532000000000011</v>
      </c>
      <c r="T11" s="136">
        <f t="shared" si="6"/>
        <v>60.455999999999989</v>
      </c>
      <c r="U11" s="137">
        <f t="shared" si="13"/>
        <v>189.52200438310726</v>
      </c>
      <c r="V11" s="137">
        <v>103.6</v>
      </c>
    </row>
    <row r="12" spans="1:37" s="88" customFormat="1" ht="39" x14ac:dyDescent="0.25">
      <c r="A12" s="85" t="s">
        <v>116</v>
      </c>
      <c r="B12" s="195" t="s">
        <v>149</v>
      </c>
      <c r="C12" s="72" t="s">
        <v>111</v>
      </c>
      <c r="D12" s="133">
        <v>86</v>
      </c>
      <c r="E12" s="133">
        <f t="shared" si="7"/>
        <v>86</v>
      </c>
      <c r="F12" s="134">
        <f t="shared" si="8"/>
        <v>44.026000000000003</v>
      </c>
      <c r="G12" s="133">
        <v>0.96</v>
      </c>
      <c r="H12" s="133">
        <v>19.995000000000001</v>
      </c>
      <c r="I12" s="133">
        <v>0.187</v>
      </c>
      <c r="J12" s="133">
        <v>1.9410000000000001</v>
      </c>
      <c r="K12" s="133">
        <v>20.943000000000001</v>
      </c>
      <c r="L12" s="135">
        <v>40.020000000000003</v>
      </c>
      <c r="M12" s="136">
        <f t="shared" si="3"/>
        <v>4.0060000000000002</v>
      </c>
      <c r="N12" s="137">
        <f>F12/L12*100</f>
        <v>110.00999500249875</v>
      </c>
      <c r="O12" s="136">
        <f t="shared" si="11"/>
        <v>35.833333333333336</v>
      </c>
      <c r="P12" s="136">
        <f t="shared" si="4"/>
        <v>8.1926666666666677</v>
      </c>
      <c r="Q12" s="137">
        <f t="shared" si="5"/>
        <v>122.8632558139535</v>
      </c>
      <c r="R12" s="137">
        <f t="shared" si="9"/>
        <v>51.193023255813955</v>
      </c>
      <c r="S12" s="134">
        <v>31.804000000000006</v>
      </c>
      <c r="T12" s="136">
        <f t="shared" si="6"/>
        <v>12.221999999999998</v>
      </c>
      <c r="U12" s="137">
        <f>F12/S12*100</f>
        <v>138.42912841152057</v>
      </c>
      <c r="V12" s="137">
        <v>105.6</v>
      </c>
    </row>
    <row r="13" spans="1:37" s="88" customFormat="1" ht="23.25" x14ac:dyDescent="0.25">
      <c r="A13" s="85" t="s">
        <v>175</v>
      </c>
      <c r="B13" s="195" t="s">
        <v>148</v>
      </c>
      <c r="C13" s="72" t="s">
        <v>147</v>
      </c>
      <c r="D13" s="133">
        <v>215</v>
      </c>
      <c r="E13" s="133">
        <f t="shared" si="7"/>
        <v>215</v>
      </c>
      <c r="F13" s="134">
        <f t="shared" si="8"/>
        <v>74.039000000000001</v>
      </c>
      <c r="G13" s="133">
        <v>0.40400000000000003</v>
      </c>
      <c r="H13" s="133">
        <v>63.634999999999998</v>
      </c>
      <c r="I13" s="133">
        <v>0</v>
      </c>
      <c r="J13" s="133">
        <v>0</v>
      </c>
      <c r="K13" s="133">
        <v>10</v>
      </c>
      <c r="L13" s="135">
        <v>74</v>
      </c>
      <c r="M13" s="136">
        <f t="shared" si="3"/>
        <v>3.9000000000001478E-2</v>
      </c>
      <c r="N13" s="137">
        <f>F13/L13*100</f>
        <v>100.0527027027027</v>
      </c>
      <c r="O13" s="136">
        <f t="shared" si="11"/>
        <v>89.583333333333343</v>
      </c>
      <c r="P13" s="136">
        <f t="shared" si="4"/>
        <v>-15.544333333333341</v>
      </c>
      <c r="Q13" s="137">
        <f t="shared" si="5"/>
        <v>82.648186046511611</v>
      </c>
      <c r="R13" s="137">
        <f t="shared" si="9"/>
        <v>34.436744186046511</v>
      </c>
      <c r="S13" s="134">
        <v>100.929</v>
      </c>
      <c r="T13" s="136">
        <f t="shared" si="6"/>
        <v>-26.89</v>
      </c>
      <c r="U13" s="137">
        <f>F13/S13*100</f>
        <v>73.357508743770367</v>
      </c>
      <c r="V13" s="137">
        <v>101</v>
      </c>
    </row>
    <row r="14" spans="1:37" s="84" customFormat="1" ht="36" customHeight="1" x14ac:dyDescent="0.25">
      <c r="A14" s="80">
        <v>4</v>
      </c>
      <c r="B14" s="114" t="s">
        <v>96</v>
      </c>
      <c r="C14" s="108" t="s">
        <v>95</v>
      </c>
      <c r="D14" s="128">
        <f>SUM(D15:D17)</f>
        <v>283000</v>
      </c>
      <c r="E14" s="128">
        <f t="shared" si="7"/>
        <v>283000</v>
      </c>
      <c r="F14" s="129">
        <f t="shared" si="8"/>
        <v>69620.813999999998</v>
      </c>
      <c r="G14" s="128">
        <f t="shared" ref="G14:L14" si="14">SUM(G15:G17)</f>
        <v>13827.143</v>
      </c>
      <c r="H14" s="128">
        <f t="shared" si="14"/>
        <v>7447.0510000000004</v>
      </c>
      <c r="I14" s="128">
        <f t="shared" si="14"/>
        <v>25460.975999999999</v>
      </c>
      <c r="J14" s="128">
        <f t="shared" si="14"/>
        <v>6591.6589999999997</v>
      </c>
      <c r="K14" s="128">
        <f t="shared" si="14"/>
        <v>16293.985000000001</v>
      </c>
      <c r="L14" s="130">
        <f t="shared" si="14"/>
        <v>68526.298999999999</v>
      </c>
      <c r="M14" s="131">
        <f t="shared" si="3"/>
        <v>1094.5149999999994</v>
      </c>
      <c r="N14" s="132">
        <f>F14/L14*100</f>
        <v>101.59721890131554</v>
      </c>
      <c r="O14" s="131">
        <f t="shared" si="11"/>
        <v>117916.66666666666</v>
      </c>
      <c r="P14" s="131">
        <f t="shared" si="4"/>
        <v>-48295.852666666658</v>
      </c>
      <c r="Q14" s="132">
        <f t="shared" si="5"/>
        <v>59.042386431095409</v>
      </c>
      <c r="R14" s="132">
        <f t="shared" si="9"/>
        <v>24.600994346289752</v>
      </c>
      <c r="S14" s="129">
        <f t="shared" ref="S14" si="15">SUM(S15:S17)</f>
        <v>90935.100999999995</v>
      </c>
      <c r="T14" s="131">
        <f t="shared" si="6"/>
        <v>-21314.286999999997</v>
      </c>
      <c r="U14" s="132">
        <f>F14/S14*100</f>
        <v>76.560990458458946</v>
      </c>
      <c r="V14" s="132">
        <v>106.1</v>
      </c>
    </row>
    <row r="15" spans="1:37" s="88" customFormat="1" ht="23.25" x14ac:dyDescent="0.25">
      <c r="A15" s="85" t="s">
        <v>129</v>
      </c>
      <c r="B15" s="195" t="s">
        <v>101</v>
      </c>
      <c r="C15" s="72" t="s">
        <v>93</v>
      </c>
      <c r="D15" s="133">
        <v>32000</v>
      </c>
      <c r="E15" s="133">
        <f t="shared" si="7"/>
        <v>32000</v>
      </c>
      <c r="F15" s="134">
        <f t="shared" si="8"/>
        <v>4227.38</v>
      </c>
      <c r="G15" s="133">
        <v>0</v>
      </c>
      <c r="H15" s="133">
        <v>0</v>
      </c>
      <c r="I15" s="133">
        <v>4216.5990000000002</v>
      </c>
      <c r="J15" s="133">
        <v>8.0489999999999995</v>
      </c>
      <c r="K15" s="133">
        <v>2.7320000000000002</v>
      </c>
      <c r="L15" s="135">
        <v>4220</v>
      </c>
      <c r="M15" s="136">
        <f t="shared" si="3"/>
        <v>7.3800000000001091</v>
      </c>
      <c r="N15" s="137">
        <f t="shared" ref="N15:N26" si="16">F15/L15*100</f>
        <v>100.17488151658769</v>
      </c>
      <c r="O15" s="136">
        <f t="shared" si="11"/>
        <v>13333.333333333332</v>
      </c>
      <c r="P15" s="136">
        <f t="shared" si="4"/>
        <v>-9105.9533333333311</v>
      </c>
      <c r="Q15" s="137">
        <f t="shared" si="5"/>
        <v>31.705350000000003</v>
      </c>
      <c r="R15" s="137">
        <f t="shared" si="9"/>
        <v>13.2105625</v>
      </c>
      <c r="S15" s="134">
        <v>10779.114</v>
      </c>
      <c r="T15" s="136">
        <f t="shared" si="6"/>
        <v>-6551.7339999999995</v>
      </c>
      <c r="U15" s="137">
        <f t="shared" ref="U15:U24" si="17">F15/S15*100</f>
        <v>39.218251147543299</v>
      </c>
      <c r="V15" s="137">
        <v>104.4</v>
      </c>
      <c r="W15" s="86">
        <f>S15+S16</f>
        <v>48023.446000000004</v>
      </c>
      <c r="X15" s="86">
        <f>F15+F16</f>
        <v>18510.566000000003</v>
      </c>
    </row>
    <row r="16" spans="1:37" s="88" customFormat="1" ht="39" x14ac:dyDescent="0.25">
      <c r="A16" s="85" t="s">
        <v>130</v>
      </c>
      <c r="B16" s="195" t="s">
        <v>102</v>
      </c>
      <c r="C16" s="72" t="s">
        <v>94</v>
      </c>
      <c r="D16" s="133">
        <v>106000</v>
      </c>
      <c r="E16" s="133">
        <f t="shared" si="7"/>
        <v>106000</v>
      </c>
      <c r="F16" s="134">
        <f t="shared" si="8"/>
        <v>14283.186000000002</v>
      </c>
      <c r="G16" s="133">
        <v>0</v>
      </c>
      <c r="H16" s="133">
        <v>0</v>
      </c>
      <c r="I16" s="133">
        <v>14207.164000000001</v>
      </c>
      <c r="J16" s="133">
        <v>30.79</v>
      </c>
      <c r="K16" s="133">
        <v>45.231999999999999</v>
      </c>
      <c r="L16" s="135">
        <v>14270</v>
      </c>
      <c r="M16" s="136">
        <f t="shared" si="3"/>
        <v>13.186000000001513</v>
      </c>
      <c r="N16" s="137">
        <f t="shared" si="16"/>
        <v>100.09240364400841</v>
      </c>
      <c r="O16" s="136">
        <f t="shared" si="11"/>
        <v>44166.666666666672</v>
      </c>
      <c r="P16" s="136">
        <f t="shared" si="4"/>
        <v>-29883.48066666667</v>
      </c>
      <c r="Q16" s="137">
        <f t="shared" si="5"/>
        <v>32.339289056603775</v>
      </c>
      <c r="R16" s="137">
        <f t="shared" si="9"/>
        <v>13.474703773584906</v>
      </c>
      <c r="S16" s="134">
        <v>37244.332000000002</v>
      </c>
      <c r="T16" s="136">
        <f t="shared" si="6"/>
        <v>-22961.146000000001</v>
      </c>
      <c r="U16" s="137">
        <f t="shared" si="17"/>
        <v>38.349958860854322</v>
      </c>
      <c r="V16" s="137">
        <v>101.8</v>
      </c>
    </row>
    <row r="17" spans="1:25" s="88" customFormat="1" ht="39" x14ac:dyDescent="0.25">
      <c r="A17" s="85" t="s">
        <v>131</v>
      </c>
      <c r="B17" s="195" t="s">
        <v>103</v>
      </c>
      <c r="C17" s="72" t="s">
        <v>58</v>
      </c>
      <c r="D17" s="133">
        <v>145000</v>
      </c>
      <c r="E17" s="133">
        <f t="shared" si="7"/>
        <v>145000</v>
      </c>
      <c r="F17" s="134">
        <f t="shared" si="8"/>
        <v>51110.248</v>
      </c>
      <c r="G17" s="133">
        <v>13827.143</v>
      </c>
      <c r="H17" s="133">
        <v>7447.0510000000004</v>
      </c>
      <c r="I17" s="133">
        <v>7037.2129999999997</v>
      </c>
      <c r="J17" s="133">
        <v>6552.82</v>
      </c>
      <c r="K17" s="133">
        <v>16246.021000000001</v>
      </c>
      <c r="L17" s="135">
        <v>50036.298999999999</v>
      </c>
      <c r="M17" s="136">
        <f t="shared" si="3"/>
        <v>1073.9490000000005</v>
      </c>
      <c r="N17" s="137">
        <f t="shared" si="16"/>
        <v>102.14633980023183</v>
      </c>
      <c r="O17" s="136">
        <f t="shared" si="11"/>
        <v>60416.666666666672</v>
      </c>
      <c r="P17" s="136">
        <f t="shared" si="4"/>
        <v>-9306.4186666666719</v>
      </c>
      <c r="Q17" s="137">
        <f t="shared" si="5"/>
        <v>84.596272551724127</v>
      </c>
      <c r="R17" s="137">
        <f t="shared" si="9"/>
        <v>35.248446896551719</v>
      </c>
      <c r="S17" s="134">
        <v>42911.654999999999</v>
      </c>
      <c r="T17" s="136">
        <f t="shared" si="6"/>
        <v>8198.5930000000008</v>
      </c>
      <c r="U17" s="137">
        <f t="shared" si="17"/>
        <v>119.10574877617748</v>
      </c>
      <c r="V17" s="137">
        <v>109.9</v>
      </c>
    </row>
    <row r="18" spans="1:25" s="115" customFormat="1" ht="29.25" customHeight="1" x14ac:dyDescent="0.25">
      <c r="A18" s="80">
        <v>5</v>
      </c>
      <c r="B18" s="89" t="s">
        <v>196</v>
      </c>
      <c r="C18" s="81" t="s">
        <v>197</v>
      </c>
      <c r="D18" s="128">
        <v>0</v>
      </c>
      <c r="E18" s="128">
        <f t="shared" si="7"/>
        <v>0</v>
      </c>
      <c r="F18" s="129">
        <f t="shared" si="8"/>
        <v>6.7789999999999999</v>
      </c>
      <c r="G18" s="128">
        <v>0</v>
      </c>
      <c r="H18" s="128">
        <v>4.5270000000000001</v>
      </c>
      <c r="I18" s="128">
        <v>2.2519999999999998</v>
      </c>
      <c r="J18" s="128">
        <v>0</v>
      </c>
      <c r="K18" s="128">
        <v>0</v>
      </c>
      <c r="L18" s="130">
        <v>0</v>
      </c>
      <c r="M18" s="131">
        <f t="shared" si="3"/>
        <v>6.7789999999999999</v>
      </c>
      <c r="N18" s="132"/>
      <c r="O18" s="131">
        <f t="shared" si="11"/>
        <v>0</v>
      </c>
      <c r="P18" s="131">
        <f t="shared" si="4"/>
        <v>6.7789999999999999</v>
      </c>
      <c r="Q18" s="132"/>
      <c r="R18" s="132"/>
      <c r="S18" s="129">
        <v>0</v>
      </c>
      <c r="T18" s="131">
        <f t="shared" si="6"/>
        <v>6.7789999999999999</v>
      </c>
      <c r="U18" s="132"/>
      <c r="V18" s="132"/>
      <c r="W18" s="166"/>
      <c r="X18" s="166"/>
    </row>
    <row r="19" spans="1:25" s="115" customFormat="1" ht="48" customHeight="1" x14ac:dyDescent="0.25">
      <c r="A19" s="80">
        <v>6</v>
      </c>
      <c r="B19" s="89" t="s">
        <v>181</v>
      </c>
      <c r="C19" s="81" t="s">
        <v>40</v>
      </c>
      <c r="D19" s="128">
        <f>D20+D21+D22+D24+D23</f>
        <v>1148486.2349999999</v>
      </c>
      <c r="E19" s="128">
        <f t="shared" si="7"/>
        <v>1148486.2349999999</v>
      </c>
      <c r="F19" s="129">
        <f t="shared" si="8"/>
        <v>466716.89899999998</v>
      </c>
      <c r="G19" s="128">
        <f t="shared" ref="G19:L19" si="18">G20+G21+G22+G24+G23</f>
        <v>103730.772</v>
      </c>
      <c r="H19" s="128">
        <f t="shared" si="18"/>
        <v>124787.395</v>
      </c>
      <c r="I19" s="128">
        <f t="shared" si="18"/>
        <v>38829.207000000009</v>
      </c>
      <c r="J19" s="128">
        <f t="shared" si="18"/>
        <v>98595.522000000012</v>
      </c>
      <c r="K19" s="128">
        <f t="shared" si="18"/>
        <v>100774.00299999998</v>
      </c>
      <c r="L19" s="130">
        <f t="shared" si="18"/>
        <v>462558.7</v>
      </c>
      <c r="M19" s="131">
        <f t="shared" si="3"/>
        <v>4158.1989999999641</v>
      </c>
      <c r="N19" s="132">
        <f t="shared" si="16"/>
        <v>100.89895595953551</v>
      </c>
      <c r="O19" s="131">
        <f t="shared" si="11"/>
        <v>478535.93124999991</v>
      </c>
      <c r="P19" s="131">
        <f t="shared" si="4"/>
        <v>-11819.032249999931</v>
      </c>
      <c r="Q19" s="132">
        <f t="shared" si="5"/>
        <v>97.530168274067307</v>
      </c>
      <c r="R19" s="132">
        <f t="shared" si="9"/>
        <v>40.637570114194709</v>
      </c>
      <c r="S19" s="129">
        <f t="shared" ref="S19" si="19">S20+S21+S22+S24+S23</f>
        <v>413444.17499999999</v>
      </c>
      <c r="T19" s="131">
        <f t="shared" si="6"/>
        <v>53272.723999999987</v>
      </c>
      <c r="U19" s="132">
        <f t="shared" si="17"/>
        <v>112.88510691921103</v>
      </c>
      <c r="V19" s="132">
        <v>118.2</v>
      </c>
      <c r="W19" s="166">
        <f>S21+S22+S20</f>
        <v>136204.13699999999</v>
      </c>
      <c r="X19" s="166">
        <f>F20+F21+F22</f>
        <v>134568.90600000002</v>
      </c>
    </row>
    <row r="20" spans="1:25" s="117" customFormat="1" ht="28.5" customHeight="1" x14ac:dyDescent="0.25">
      <c r="A20" s="116" t="s">
        <v>141</v>
      </c>
      <c r="B20" s="196" t="s">
        <v>59</v>
      </c>
      <c r="C20" s="236" t="s">
        <v>46</v>
      </c>
      <c r="D20" s="133">
        <v>116436.235</v>
      </c>
      <c r="E20" s="133">
        <f t="shared" si="7"/>
        <v>116436.235</v>
      </c>
      <c r="F20" s="134">
        <f t="shared" si="8"/>
        <v>41286.529000000002</v>
      </c>
      <c r="G20" s="133">
        <v>13619.357</v>
      </c>
      <c r="H20" s="133">
        <v>3898.9369999999999</v>
      </c>
      <c r="I20" s="133">
        <v>2387.5859999999998</v>
      </c>
      <c r="J20" s="133">
        <v>14990.857</v>
      </c>
      <c r="K20" s="133">
        <v>6389.7920000000004</v>
      </c>
      <c r="L20" s="135">
        <v>39968</v>
      </c>
      <c r="M20" s="136">
        <f t="shared" si="3"/>
        <v>1318.5290000000023</v>
      </c>
      <c r="N20" s="137">
        <f t="shared" si="16"/>
        <v>103.29896166933548</v>
      </c>
      <c r="O20" s="164">
        <f t="shared" si="11"/>
        <v>48515.097916666666</v>
      </c>
      <c r="P20" s="136">
        <f t="shared" si="4"/>
        <v>-7228.5689166666634</v>
      </c>
      <c r="Q20" s="137">
        <f t="shared" si="5"/>
        <v>85.100372405548839</v>
      </c>
      <c r="R20" s="137">
        <f t="shared" si="9"/>
        <v>35.458488502312022</v>
      </c>
      <c r="S20" s="134">
        <v>39152.179999999993</v>
      </c>
      <c r="T20" s="136">
        <f t="shared" si="6"/>
        <v>2134.3490000000093</v>
      </c>
      <c r="U20" s="137">
        <f t="shared" si="17"/>
        <v>105.45141803087341</v>
      </c>
      <c r="V20" s="137">
        <v>118.1</v>
      </c>
    </row>
    <row r="21" spans="1:25" s="117" customFormat="1" ht="28.5" customHeight="1" x14ac:dyDescent="0.25">
      <c r="A21" s="85" t="s">
        <v>142</v>
      </c>
      <c r="B21" s="196" t="s">
        <v>7</v>
      </c>
      <c r="C21" s="236"/>
      <c r="D21" s="133">
        <v>271200</v>
      </c>
      <c r="E21" s="133">
        <f t="shared" si="7"/>
        <v>271200</v>
      </c>
      <c r="F21" s="134">
        <f t="shared" si="8"/>
        <v>92695.9</v>
      </c>
      <c r="G21" s="133">
        <v>16688.975999999999</v>
      </c>
      <c r="H21" s="133">
        <v>18871.809000000001</v>
      </c>
      <c r="I21" s="133">
        <v>17285.559000000001</v>
      </c>
      <c r="J21" s="133">
        <v>17840.13</v>
      </c>
      <c r="K21" s="133">
        <v>22009.425999999999</v>
      </c>
      <c r="L21" s="135">
        <v>90905</v>
      </c>
      <c r="M21" s="136">
        <f t="shared" si="3"/>
        <v>1790.8999999999942</v>
      </c>
      <c r="N21" s="137">
        <f t="shared" si="16"/>
        <v>101.9700786535394</v>
      </c>
      <c r="O21" s="131">
        <f t="shared" si="11"/>
        <v>113000</v>
      </c>
      <c r="P21" s="136">
        <f t="shared" si="4"/>
        <v>-20304.100000000006</v>
      </c>
      <c r="Q21" s="137">
        <f t="shared" si="5"/>
        <v>82.031769911504412</v>
      </c>
      <c r="R21" s="137">
        <f t="shared" si="9"/>
        <v>34.179904129793506</v>
      </c>
      <c r="S21" s="134">
        <v>96158.978999999992</v>
      </c>
      <c r="T21" s="136">
        <f t="shared" si="6"/>
        <v>-3463.0789999999979</v>
      </c>
      <c r="U21" s="137">
        <f t="shared" si="17"/>
        <v>96.398590089023301</v>
      </c>
      <c r="V21" s="137">
        <v>117.1</v>
      </c>
    </row>
    <row r="22" spans="1:25" s="117" customFormat="1" ht="28.5" customHeight="1" x14ac:dyDescent="0.25">
      <c r="A22" s="85" t="s">
        <v>143</v>
      </c>
      <c r="B22" s="196" t="s">
        <v>60</v>
      </c>
      <c r="C22" s="236"/>
      <c r="D22" s="133">
        <v>1200</v>
      </c>
      <c r="E22" s="133">
        <f t="shared" si="7"/>
        <v>1200</v>
      </c>
      <c r="F22" s="134">
        <f t="shared" si="8"/>
        <v>586.47699999999998</v>
      </c>
      <c r="G22" s="133">
        <v>247.57300000000001</v>
      </c>
      <c r="H22" s="133">
        <v>103.74299999999999</v>
      </c>
      <c r="I22" s="133">
        <v>29.167000000000002</v>
      </c>
      <c r="J22" s="133">
        <v>161.82400000000001</v>
      </c>
      <c r="K22" s="133">
        <v>44.17</v>
      </c>
      <c r="L22" s="135">
        <v>584.79999999999995</v>
      </c>
      <c r="M22" s="136">
        <f t="shared" si="3"/>
        <v>1.6770000000000209</v>
      </c>
      <c r="N22" s="137">
        <f t="shared" si="16"/>
        <v>100.28676470588236</v>
      </c>
      <c r="O22" s="131">
        <f t="shared" si="11"/>
        <v>500</v>
      </c>
      <c r="P22" s="136">
        <f t="shared" si="4"/>
        <v>86.476999999999975</v>
      </c>
      <c r="Q22" s="137">
        <f t="shared" si="5"/>
        <v>117.2954</v>
      </c>
      <c r="R22" s="137">
        <f t="shared" si="9"/>
        <v>48.873083333333334</v>
      </c>
      <c r="S22" s="134">
        <v>892.97800000000007</v>
      </c>
      <c r="T22" s="136">
        <f t="shared" si="6"/>
        <v>-306.50100000000009</v>
      </c>
      <c r="U22" s="137">
        <f t="shared" si="17"/>
        <v>65.676534024354467</v>
      </c>
      <c r="V22" s="137">
        <v>73</v>
      </c>
      <c r="W22" s="137">
        <f>100-U22</f>
        <v>34.323465975645533</v>
      </c>
      <c r="X22" s="118"/>
      <c r="Y22" s="119" t="e">
        <f>F20/#REF!*100</f>
        <v>#REF!</v>
      </c>
    </row>
    <row r="23" spans="1:25" s="121" customFormat="1" ht="28.5" customHeight="1" x14ac:dyDescent="0.25">
      <c r="A23" s="85" t="s">
        <v>144</v>
      </c>
      <c r="B23" s="196" t="s">
        <v>42</v>
      </c>
      <c r="C23" s="120" t="s">
        <v>41</v>
      </c>
      <c r="D23" s="133">
        <v>2050</v>
      </c>
      <c r="E23" s="133">
        <f t="shared" si="7"/>
        <v>2050</v>
      </c>
      <c r="F23" s="134">
        <f t="shared" si="8"/>
        <v>1008.2750000000001</v>
      </c>
      <c r="G23" s="133">
        <v>94</v>
      </c>
      <c r="H23" s="133">
        <v>159.066</v>
      </c>
      <c r="I23" s="133">
        <v>113.41</v>
      </c>
      <c r="J23" s="133">
        <v>255.81100000000001</v>
      </c>
      <c r="K23" s="133">
        <v>385.988</v>
      </c>
      <c r="L23" s="135">
        <v>1000.9</v>
      </c>
      <c r="M23" s="136">
        <f t="shared" si="3"/>
        <v>7.3750000000001137</v>
      </c>
      <c r="N23" s="137">
        <f t="shared" si="16"/>
        <v>100.73683684683785</v>
      </c>
      <c r="O23" s="131">
        <f t="shared" si="11"/>
        <v>854.16666666666674</v>
      </c>
      <c r="P23" s="136">
        <f t="shared" si="4"/>
        <v>154.10833333333335</v>
      </c>
      <c r="Q23" s="137">
        <f t="shared" si="5"/>
        <v>118.0419512195122</v>
      </c>
      <c r="R23" s="137">
        <f t="shared" si="9"/>
        <v>49.184146341463418</v>
      </c>
      <c r="S23" s="134">
        <v>513.64700000000005</v>
      </c>
      <c r="T23" s="133">
        <f t="shared" si="6"/>
        <v>494.62800000000004</v>
      </c>
      <c r="U23" s="137">
        <f t="shared" si="17"/>
        <v>196.29726251686469</v>
      </c>
      <c r="V23" s="137">
        <v>106.6</v>
      </c>
    </row>
    <row r="24" spans="1:25" s="117" customFormat="1" ht="28.5" customHeight="1" x14ac:dyDescent="0.25">
      <c r="A24" s="85" t="s">
        <v>208</v>
      </c>
      <c r="B24" s="196" t="s">
        <v>35</v>
      </c>
      <c r="C24" s="218" t="s">
        <v>36</v>
      </c>
      <c r="D24" s="133">
        <v>757600</v>
      </c>
      <c r="E24" s="133">
        <f t="shared" si="7"/>
        <v>757600</v>
      </c>
      <c r="F24" s="134">
        <f t="shared" si="8"/>
        <v>331139.71799999999</v>
      </c>
      <c r="G24" s="133">
        <v>73080.865999999995</v>
      </c>
      <c r="H24" s="133">
        <v>101753.84</v>
      </c>
      <c r="I24" s="133">
        <v>19013.485000000001</v>
      </c>
      <c r="J24" s="133">
        <v>65346.9</v>
      </c>
      <c r="K24" s="133">
        <v>71944.626999999993</v>
      </c>
      <c r="L24" s="135">
        <v>330100</v>
      </c>
      <c r="M24" s="136">
        <f t="shared" si="3"/>
        <v>1039.7179999999935</v>
      </c>
      <c r="N24" s="137">
        <f t="shared" si="16"/>
        <v>100.31497061496518</v>
      </c>
      <c r="O24" s="131">
        <f t="shared" si="11"/>
        <v>315666.66666666669</v>
      </c>
      <c r="P24" s="136">
        <f t="shared" si="4"/>
        <v>15473.051333333307</v>
      </c>
      <c r="Q24" s="137">
        <f t="shared" si="5"/>
        <v>104.90170580781415</v>
      </c>
      <c r="R24" s="137">
        <f t="shared" si="9"/>
        <v>43.70904408658923</v>
      </c>
      <c r="S24" s="134">
        <v>276726.391</v>
      </c>
      <c r="T24" s="136">
        <f t="shared" si="6"/>
        <v>54413.32699999999</v>
      </c>
      <c r="U24" s="137">
        <f t="shared" si="17"/>
        <v>119.66322286911912</v>
      </c>
      <c r="V24" s="137">
        <v>118.8</v>
      </c>
      <c r="X24" s="118"/>
      <c r="Y24" s="119" t="e">
        <f>F24/#REF!*100</f>
        <v>#REF!</v>
      </c>
    </row>
    <row r="25" spans="1:25" s="84" customFormat="1" ht="39.75" customHeight="1" x14ac:dyDescent="0.25">
      <c r="A25" s="80">
        <v>7</v>
      </c>
      <c r="B25" s="89" t="s">
        <v>48</v>
      </c>
      <c r="C25" s="81" t="s">
        <v>18</v>
      </c>
      <c r="D25" s="128">
        <v>950</v>
      </c>
      <c r="E25" s="128">
        <f t="shared" si="7"/>
        <v>950</v>
      </c>
      <c r="F25" s="129">
        <f t="shared" si="8"/>
        <v>190.50200000000001</v>
      </c>
      <c r="G25" s="128">
        <v>1.284</v>
      </c>
      <c r="H25" s="128">
        <v>40.808</v>
      </c>
      <c r="I25" s="128">
        <v>10.311</v>
      </c>
      <c r="J25" s="128">
        <v>33.229999999999997</v>
      </c>
      <c r="K25" s="128">
        <v>104.869</v>
      </c>
      <c r="L25" s="130">
        <v>190</v>
      </c>
      <c r="M25" s="131">
        <f t="shared" si="3"/>
        <v>0.50200000000000955</v>
      </c>
      <c r="N25" s="132">
        <f t="shared" si="16"/>
        <v>100.26421052631579</v>
      </c>
      <c r="O25" s="131">
        <f t="shared" si="11"/>
        <v>395.83333333333337</v>
      </c>
      <c r="P25" s="131">
        <f t="shared" si="4"/>
        <v>-205.33133333333336</v>
      </c>
      <c r="Q25" s="132">
        <f t="shared" si="5"/>
        <v>48.126821052631577</v>
      </c>
      <c r="R25" s="132">
        <f t="shared" si="9"/>
        <v>20.052842105263156</v>
      </c>
      <c r="S25" s="129">
        <v>223.52699999999999</v>
      </c>
      <c r="T25" s="131">
        <f t="shared" si="6"/>
        <v>-33.024999999999977</v>
      </c>
      <c r="U25" s="132">
        <f>F25/S25*100</f>
        <v>85.225498485641566</v>
      </c>
      <c r="V25" s="132">
        <v>102.7</v>
      </c>
      <c r="W25" s="83">
        <f>100-U25</f>
        <v>14.774501514358434</v>
      </c>
    </row>
    <row r="26" spans="1:25" s="84" customFormat="1" ht="29.25" customHeight="1" x14ac:dyDescent="0.25">
      <c r="A26" s="80">
        <f t="shared" ref="A26:A33" si="20">A25+1</f>
        <v>8</v>
      </c>
      <c r="B26" s="89" t="s">
        <v>76</v>
      </c>
      <c r="C26" s="81" t="s">
        <v>75</v>
      </c>
      <c r="D26" s="128">
        <v>12000</v>
      </c>
      <c r="E26" s="128">
        <f t="shared" si="7"/>
        <v>12000</v>
      </c>
      <c r="F26" s="129">
        <f t="shared" si="8"/>
        <v>5450.7240000000002</v>
      </c>
      <c r="G26" s="128">
        <v>501.13</v>
      </c>
      <c r="H26" s="128">
        <v>1239.6949999999999</v>
      </c>
      <c r="I26" s="128">
        <v>1250.075</v>
      </c>
      <c r="J26" s="128">
        <v>1209.75</v>
      </c>
      <c r="K26" s="128">
        <v>1250.0740000000001</v>
      </c>
      <c r="L26" s="130">
        <v>5150</v>
      </c>
      <c r="M26" s="131">
        <f t="shared" si="3"/>
        <v>300.72400000000016</v>
      </c>
      <c r="N26" s="132">
        <f t="shared" si="16"/>
        <v>105.83930097087379</v>
      </c>
      <c r="O26" s="131">
        <f t="shared" si="11"/>
        <v>5000</v>
      </c>
      <c r="P26" s="131">
        <f t="shared" si="4"/>
        <v>450.72400000000016</v>
      </c>
      <c r="Q26" s="132">
        <f t="shared" si="5"/>
        <v>109.01448000000001</v>
      </c>
      <c r="R26" s="132">
        <f t="shared" si="9"/>
        <v>45.422699999999999</v>
      </c>
      <c r="S26" s="129">
        <v>6529.8370000000014</v>
      </c>
      <c r="T26" s="131">
        <f t="shared" si="6"/>
        <v>-1079.1130000000012</v>
      </c>
      <c r="U26" s="132">
        <f>F26/S26*100</f>
        <v>83.474120410662607</v>
      </c>
      <c r="V26" s="132">
        <v>69.7</v>
      </c>
    </row>
    <row r="27" spans="1:25" s="84" customFormat="1" ht="29.25" customHeight="1" x14ac:dyDescent="0.25">
      <c r="A27" s="80">
        <f t="shared" si="20"/>
        <v>9</v>
      </c>
      <c r="B27" s="89" t="s">
        <v>8</v>
      </c>
      <c r="C27" s="81" t="s">
        <v>19</v>
      </c>
      <c r="D27" s="128">
        <v>6.1</v>
      </c>
      <c r="E27" s="128">
        <f t="shared" si="7"/>
        <v>6.1</v>
      </c>
      <c r="F27" s="129">
        <f t="shared" si="8"/>
        <v>0</v>
      </c>
      <c r="G27" s="128">
        <v>0</v>
      </c>
      <c r="H27" s="128"/>
      <c r="I27" s="128">
        <v>0</v>
      </c>
      <c r="J27" s="128">
        <v>0</v>
      </c>
      <c r="K27" s="128">
        <v>0</v>
      </c>
      <c r="L27" s="130">
        <v>0</v>
      </c>
      <c r="M27" s="131">
        <f t="shared" si="3"/>
        <v>0</v>
      </c>
      <c r="N27" s="132"/>
      <c r="O27" s="131">
        <f t="shared" si="11"/>
        <v>2.5416666666666665</v>
      </c>
      <c r="P27" s="131">
        <f t="shared" si="4"/>
        <v>-2.5416666666666665</v>
      </c>
      <c r="Q27" s="132">
        <f t="shared" si="5"/>
        <v>0</v>
      </c>
      <c r="R27" s="132">
        <f t="shared" si="9"/>
        <v>0</v>
      </c>
      <c r="S27" s="129">
        <v>6.04</v>
      </c>
      <c r="T27" s="131">
        <f t="shared" si="6"/>
        <v>-6.04</v>
      </c>
      <c r="U27" s="132"/>
      <c r="V27" s="132">
        <v>101</v>
      </c>
    </row>
    <row r="28" spans="1:25" s="84" customFormat="1" ht="58.5" x14ac:dyDescent="0.25">
      <c r="A28" s="80">
        <f t="shared" si="20"/>
        <v>10</v>
      </c>
      <c r="B28" s="151" t="s">
        <v>97</v>
      </c>
      <c r="C28" s="109" t="s">
        <v>98</v>
      </c>
      <c r="D28" s="128">
        <v>0.05</v>
      </c>
      <c r="E28" s="128">
        <f t="shared" si="7"/>
        <v>0.05</v>
      </c>
      <c r="F28" s="129">
        <f t="shared" si="8"/>
        <v>5.1849999999999996</v>
      </c>
      <c r="G28" s="128">
        <v>5.1849999999999996</v>
      </c>
      <c r="H28" s="128"/>
      <c r="I28" s="128">
        <v>0</v>
      </c>
      <c r="J28" s="128">
        <v>0</v>
      </c>
      <c r="K28" s="128">
        <v>0</v>
      </c>
      <c r="L28" s="130">
        <v>0.05</v>
      </c>
      <c r="M28" s="131">
        <f t="shared" si="3"/>
        <v>5.1349999999999998</v>
      </c>
      <c r="N28" s="132">
        <f t="shared" ref="N28:N39" si="21">F28/L28*100</f>
        <v>10369.999999999998</v>
      </c>
      <c r="O28" s="131">
        <f t="shared" si="11"/>
        <v>2.0833333333333332E-2</v>
      </c>
      <c r="P28" s="131">
        <f t="shared" si="4"/>
        <v>5.1641666666666666</v>
      </c>
      <c r="Q28" s="132">
        <f t="shared" si="5"/>
        <v>24888</v>
      </c>
      <c r="R28" s="132">
        <f t="shared" si="9"/>
        <v>10369.999999999998</v>
      </c>
      <c r="S28" s="129">
        <v>0</v>
      </c>
      <c r="T28" s="131">
        <f t="shared" si="6"/>
        <v>5.1849999999999996</v>
      </c>
      <c r="U28" s="132"/>
      <c r="V28" s="132">
        <v>1</v>
      </c>
    </row>
    <row r="29" spans="1:25" s="84" customFormat="1" ht="33" customHeight="1" x14ac:dyDescent="0.25">
      <c r="A29" s="80">
        <f t="shared" si="20"/>
        <v>11</v>
      </c>
      <c r="B29" s="147" t="s">
        <v>32</v>
      </c>
      <c r="C29" s="81" t="s">
        <v>25</v>
      </c>
      <c r="D29" s="128">
        <v>14300</v>
      </c>
      <c r="E29" s="128">
        <f t="shared" si="7"/>
        <v>14300</v>
      </c>
      <c r="F29" s="129">
        <f t="shared" si="8"/>
        <v>3234.3150000000001</v>
      </c>
      <c r="G29" s="128">
        <v>1031.287</v>
      </c>
      <c r="H29" s="128">
        <v>1145.06</v>
      </c>
      <c r="I29" s="128">
        <v>101.938</v>
      </c>
      <c r="J29" s="128">
        <v>351.33600000000001</v>
      </c>
      <c r="K29" s="128">
        <v>604.69399999999996</v>
      </c>
      <c r="L29" s="130">
        <v>3150</v>
      </c>
      <c r="M29" s="131">
        <f t="shared" si="3"/>
        <v>84.315000000000055</v>
      </c>
      <c r="N29" s="132">
        <f t="shared" si="21"/>
        <v>102.67666666666666</v>
      </c>
      <c r="O29" s="131">
        <f t="shared" si="11"/>
        <v>5958.3333333333339</v>
      </c>
      <c r="P29" s="131">
        <f t="shared" si="4"/>
        <v>-2724.0183333333339</v>
      </c>
      <c r="Q29" s="132">
        <f t="shared" si="5"/>
        <v>54.282209790209791</v>
      </c>
      <c r="R29" s="132">
        <f t="shared" si="9"/>
        <v>22.617587412587415</v>
      </c>
      <c r="S29" s="129">
        <v>4128.6019999999999</v>
      </c>
      <c r="T29" s="131">
        <f t="shared" si="6"/>
        <v>-894.28699999999981</v>
      </c>
      <c r="U29" s="132">
        <f t="shared" ref="U29:U39" si="22">F29/S29*100</f>
        <v>78.339229598784286</v>
      </c>
      <c r="V29" s="132">
        <v>104</v>
      </c>
      <c r="W29" s="83">
        <f>K29-'[1]2021'!$I$29</f>
        <v>-289.27300000000002</v>
      </c>
    </row>
    <row r="30" spans="1:25" s="84" customFormat="1" ht="39" x14ac:dyDescent="0.25">
      <c r="A30" s="80">
        <f t="shared" si="20"/>
        <v>12</v>
      </c>
      <c r="B30" s="147" t="s">
        <v>87</v>
      </c>
      <c r="C30" s="81" t="s">
        <v>86</v>
      </c>
      <c r="D30" s="128">
        <v>560</v>
      </c>
      <c r="E30" s="128">
        <f t="shared" si="7"/>
        <v>560</v>
      </c>
      <c r="F30" s="129">
        <f t="shared" si="8"/>
        <v>101.857</v>
      </c>
      <c r="G30" s="128">
        <v>79.635000000000005</v>
      </c>
      <c r="H30" s="128">
        <v>6.94</v>
      </c>
      <c r="I30" s="128">
        <v>0</v>
      </c>
      <c r="J30" s="128">
        <v>0</v>
      </c>
      <c r="K30" s="128">
        <v>15.282</v>
      </c>
      <c r="L30" s="130">
        <v>91</v>
      </c>
      <c r="M30" s="131">
        <f t="shared" si="3"/>
        <v>10.856999999999999</v>
      </c>
      <c r="N30" s="132">
        <f t="shared" si="21"/>
        <v>111.93076923076923</v>
      </c>
      <c r="O30" s="131">
        <f t="shared" si="11"/>
        <v>233.33333333333331</v>
      </c>
      <c r="P30" s="131">
        <f t="shared" si="4"/>
        <v>-131.47633333333332</v>
      </c>
      <c r="Q30" s="132">
        <f t="shared" si="5"/>
        <v>43.653000000000006</v>
      </c>
      <c r="R30" s="132">
        <f t="shared" si="9"/>
        <v>18.188750000000002</v>
      </c>
      <c r="S30" s="129">
        <v>124.72</v>
      </c>
      <c r="T30" s="131">
        <f t="shared" si="6"/>
        <v>-22.863</v>
      </c>
      <c r="U30" s="132">
        <f t="shared" si="22"/>
        <v>81.668537524053889</v>
      </c>
      <c r="V30" s="132">
        <v>102.2</v>
      </c>
    </row>
    <row r="31" spans="1:25" s="84" customFormat="1" ht="29.25" customHeight="1" x14ac:dyDescent="0.25">
      <c r="A31" s="80">
        <f t="shared" si="20"/>
        <v>13</v>
      </c>
      <c r="B31" s="147" t="s">
        <v>117</v>
      </c>
      <c r="C31" s="81" t="s">
        <v>118</v>
      </c>
      <c r="D31" s="128">
        <v>18563.54</v>
      </c>
      <c r="E31" s="128">
        <f t="shared" si="7"/>
        <v>18563.54</v>
      </c>
      <c r="F31" s="129">
        <f t="shared" si="8"/>
        <v>7263.3639999999996</v>
      </c>
      <c r="G31" s="128">
        <v>1407.4690000000001</v>
      </c>
      <c r="H31" s="128">
        <v>1637.8989999999999</v>
      </c>
      <c r="I31" s="128">
        <v>1178.489</v>
      </c>
      <c r="J31" s="128">
        <v>1400.6790000000001</v>
      </c>
      <c r="K31" s="128">
        <v>1638.828</v>
      </c>
      <c r="L31" s="130">
        <v>6670</v>
      </c>
      <c r="M31" s="131">
        <f t="shared" si="3"/>
        <v>593.36399999999958</v>
      </c>
      <c r="N31" s="132">
        <f t="shared" si="21"/>
        <v>108.89601199400299</v>
      </c>
      <c r="O31" s="131">
        <f t="shared" si="11"/>
        <v>7734.8083333333343</v>
      </c>
      <c r="P31" s="131">
        <f t="shared" si="4"/>
        <v>-471.44433333333473</v>
      </c>
      <c r="Q31" s="132">
        <f t="shared" si="5"/>
        <v>93.904899604278043</v>
      </c>
      <c r="R31" s="132">
        <f t="shared" si="9"/>
        <v>39.127041501782521</v>
      </c>
      <c r="S31" s="129">
        <v>7230.9689999999991</v>
      </c>
      <c r="T31" s="131">
        <f t="shared" si="6"/>
        <v>32.395000000000437</v>
      </c>
      <c r="U31" s="132">
        <f t="shared" si="22"/>
        <v>100.44800358015642</v>
      </c>
      <c r="V31" s="132">
        <v>104.3</v>
      </c>
    </row>
    <row r="32" spans="1:25" s="84" customFormat="1" ht="58.5" x14ac:dyDescent="0.25">
      <c r="A32" s="80">
        <f t="shared" si="20"/>
        <v>14</v>
      </c>
      <c r="B32" s="147" t="s">
        <v>176</v>
      </c>
      <c r="C32" s="81" t="s">
        <v>177</v>
      </c>
      <c r="D32" s="128">
        <v>35</v>
      </c>
      <c r="E32" s="128">
        <f t="shared" si="7"/>
        <v>35</v>
      </c>
      <c r="F32" s="129">
        <f t="shared" si="8"/>
        <v>24.623999999999999</v>
      </c>
      <c r="G32" s="128">
        <v>8.39</v>
      </c>
      <c r="H32" s="128">
        <v>6.0720000000000001</v>
      </c>
      <c r="I32" s="128">
        <v>1.95</v>
      </c>
      <c r="J32" s="128">
        <v>1.95</v>
      </c>
      <c r="K32" s="128">
        <v>6.2619999999999996</v>
      </c>
      <c r="L32" s="130">
        <v>23.7</v>
      </c>
      <c r="M32" s="131">
        <f t="shared" si="3"/>
        <v>0.92399999999999949</v>
      </c>
      <c r="N32" s="132">
        <f t="shared" si="21"/>
        <v>103.89873417721518</v>
      </c>
      <c r="O32" s="131">
        <f t="shared" si="11"/>
        <v>14.583333333333332</v>
      </c>
      <c r="P32" s="131">
        <f t="shared" si="4"/>
        <v>10.040666666666667</v>
      </c>
      <c r="Q32" s="132">
        <f>F32/O32*100</f>
        <v>168.85028571428572</v>
      </c>
      <c r="R32" s="132">
        <f t="shared" si="9"/>
        <v>70.354285714285709</v>
      </c>
      <c r="S32" s="129">
        <v>7.0009999999999994</v>
      </c>
      <c r="T32" s="131">
        <f t="shared" si="6"/>
        <v>17.622999999999998</v>
      </c>
      <c r="U32" s="132">
        <f t="shared" si="22"/>
        <v>351.72118268818741</v>
      </c>
      <c r="V32" s="132">
        <v>94.6</v>
      </c>
    </row>
    <row r="33" spans="1:29" s="84" customFormat="1" ht="27" customHeight="1" x14ac:dyDescent="0.25">
      <c r="A33" s="80">
        <f t="shared" si="20"/>
        <v>15</v>
      </c>
      <c r="B33" s="147" t="s">
        <v>89</v>
      </c>
      <c r="C33" s="81" t="s">
        <v>88</v>
      </c>
      <c r="D33" s="128">
        <f>SUM(D34:D37)</f>
        <v>34832</v>
      </c>
      <c r="E33" s="128">
        <f t="shared" si="7"/>
        <v>34832</v>
      </c>
      <c r="F33" s="129">
        <f t="shared" si="8"/>
        <v>15705.441999999999</v>
      </c>
      <c r="G33" s="128">
        <f t="shared" ref="G33:L33" si="23">SUM(G34:G37)</f>
        <v>2780.7419999999997</v>
      </c>
      <c r="H33" s="128">
        <f t="shared" si="23"/>
        <v>3150.4549999999999</v>
      </c>
      <c r="I33" s="128">
        <f t="shared" si="23"/>
        <v>1405.0839999999998</v>
      </c>
      <c r="J33" s="128">
        <f t="shared" si="23"/>
        <v>3801.056</v>
      </c>
      <c r="K33" s="128">
        <f t="shared" si="23"/>
        <v>4568.1049999999996</v>
      </c>
      <c r="L33" s="130">
        <f t="shared" si="23"/>
        <v>14893.391</v>
      </c>
      <c r="M33" s="131">
        <f t="shared" si="3"/>
        <v>812.05099999999948</v>
      </c>
      <c r="N33" s="132">
        <f t="shared" si="21"/>
        <v>105.452425173018</v>
      </c>
      <c r="O33" s="131">
        <f t="shared" si="11"/>
        <v>14513.333333333332</v>
      </c>
      <c r="P33" s="131">
        <f t="shared" si="4"/>
        <v>1192.108666666667</v>
      </c>
      <c r="Q33" s="132">
        <f t="shared" si="5"/>
        <v>108.2138860817639</v>
      </c>
      <c r="R33" s="132">
        <f t="shared" si="9"/>
        <v>45.089119200734956</v>
      </c>
      <c r="S33" s="129">
        <f t="shared" ref="S33" si="24">SUM(S34:S37)</f>
        <v>12336.047</v>
      </c>
      <c r="T33" s="131">
        <f t="shared" si="6"/>
        <v>3369.3949999999986</v>
      </c>
      <c r="U33" s="132">
        <f t="shared" si="22"/>
        <v>127.3134092306879</v>
      </c>
      <c r="V33" s="132">
        <v>104</v>
      </c>
      <c r="W33" s="82">
        <f>K33-'[1]2021'!$I$33</f>
        <v>2011.8279999999995</v>
      </c>
    </row>
    <row r="34" spans="1:29" s="88" customFormat="1" ht="41.25" customHeight="1" x14ac:dyDescent="0.25">
      <c r="A34" s="85" t="s">
        <v>209</v>
      </c>
      <c r="B34" s="148" t="s">
        <v>81</v>
      </c>
      <c r="C34" s="218" t="s">
        <v>80</v>
      </c>
      <c r="D34" s="133">
        <v>1500</v>
      </c>
      <c r="E34" s="133">
        <f t="shared" si="7"/>
        <v>1500</v>
      </c>
      <c r="F34" s="134">
        <f t="shared" si="8"/>
        <v>374.697</v>
      </c>
      <c r="G34" s="133">
        <v>105.29900000000001</v>
      </c>
      <c r="H34" s="133">
        <v>116.64</v>
      </c>
      <c r="I34" s="133">
        <v>11.1</v>
      </c>
      <c r="J34" s="133">
        <v>63.677999999999997</v>
      </c>
      <c r="K34" s="133">
        <v>77.98</v>
      </c>
      <c r="L34" s="135">
        <v>366</v>
      </c>
      <c r="M34" s="136">
        <f t="shared" si="3"/>
        <v>8.6970000000000027</v>
      </c>
      <c r="N34" s="137">
        <f t="shared" si="21"/>
        <v>102.37622950819672</v>
      </c>
      <c r="O34" s="131">
        <f t="shared" si="11"/>
        <v>625</v>
      </c>
      <c r="P34" s="136">
        <f t="shared" si="4"/>
        <v>-250.303</v>
      </c>
      <c r="Q34" s="137">
        <f t="shared" si="5"/>
        <v>59.951520000000002</v>
      </c>
      <c r="R34" s="137">
        <f t="shared" si="9"/>
        <v>24.979800000000001</v>
      </c>
      <c r="S34" s="134">
        <v>606.38699999999994</v>
      </c>
      <c r="T34" s="136">
        <f t="shared" si="6"/>
        <v>-231.68999999999994</v>
      </c>
      <c r="U34" s="137">
        <f t="shared" si="22"/>
        <v>61.791727065388947</v>
      </c>
      <c r="V34" s="137">
        <v>102.5</v>
      </c>
      <c r="W34" s="137">
        <f>U34-100</f>
        <v>-38.208272934611053</v>
      </c>
      <c r="X34" s="86"/>
    </row>
    <row r="35" spans="1:29" s="88" customFormat="1" ht="32.25" customHeight="1" x14ac:dyDescent="0.25">
      <c r="A35" s="85" t="s">
        <v>210</v>
      </c>
      <c r="B35" s="149" t="s">
        <v>61</v>
      </c>
      <c r="C35" s="72" t="s">
        <v>62</v>
      </c>
      <c r="D35" s="133">
        <v>32000</v>
      </c>
      <c r="E35" s="133">
        <f t="shared" si="7"/>
        <v>32000</v>
      </c>
      <c r="F35" s="134">
        <f t="shared" si="8"/>
        <v>15101.858</v>
      </c>
      <c r="G35" s="133">
        <v>2558.1509999999998</v>
      </c>
      <c r="H35" s="133">
        <v>2929.9290000000001</v>
      </c>
      <c r="I35" s="133">
        <v>1393.9839999999999</v>
      </c>
      <c r="J35" s="133">
        <v>3737.3780000000002</v>
      </c>
      <c r="K35" s="133">
        <v>4482.4160000000002</v>
      </c>
      <c r="L35" s="135">
        <v>14306.290999999999</v>
      </c>
      <c r="M35" s="136">
        <f t="shared" si="3"/>
        <v>795.56700000000092</v>
      </c>
      <c r="N35" s="137">
        <f t="shared" si="21"/>
        <v>105.56095916125292</v>
      </c>
      <c r="O35" s="131">
        <f t="shared" si="11"/>
        <v>13333.333333333332</v>
      </c>
      <c r="P35" s="136">
        <f t="shared" si="4"/>
        <v>1768.5246666666681</v>
      </c>
      <c r="Q35" s="137">
        <f t="shared" si="5"/>
        <v>113.263935</v>
      </c>
      <c r="R35" s="137">
        <f t="shared" si="9"/>
        <v>47.193306249999999</v>
      </c>
      <c r="S35" s="134">
        <v>11144.460999999999</v>
      </c>
      <c r="T35" s="136">
        <f t="shared" si="6"/>
        <v>3957.3970000000008</v>
      </c>
      <c r="U35" s="137">
        <f t="shared" si="22"/>
        <v>135.50999011975546</v>
      </c>
      <c r="V35" s="137">
        <v>104.2</v>
      </c>
      <c r="W35" s="137">
        <f>U35-100</f>
        <v>35.509990119755457</v>
      </c>
      <c r="X35" s="87"/>
    </row>
    <row r="36" spans="1:29" s="88" customFormat="1" ht="23.25" x14ac:dyDescent="0.25">
      <c r="A36" s="85" t="s">
        <v>211</v>
      </c>
      <c r="B36" s="149" t="s">
        <v>85</v>
      </c>
      <c r="C36" s="72" t="s">
        <v>82</v>
      </c>
      <c r="D36" s="133">
        <v>1250</v>
      </c>
      <c r="E36" s="133">
        <f t="shared" si="7"/>
        <v>1250</v>
      </c>
      <c r="F36" s="134">
        <f t="shared" si="8"/>
        <v>212.417</v>
      </c>
      <c r="G36" s="133">
        <v>109.502</v>
      </c>
      <c r="H36" s="133">
        <v>95.206000000000003</v>
      </c>
      <c r="I36" s="133">
        <v>0</v>
      </c>
      <c r="J36" s="133">
        <v>0</v>
      </c>
      <c r="K36" s="133">
        <v>7.7089999999999996</v>
      </c>
      <c r="L36" s="135">
        <v>204.7</v>
      </c>
      <c r="M36" s="136">
        <f t="shared" si="3"/>
        <v>7.717000000000013</v>
      </c>
      <c r="N36" s="137">
        <f t="shared" si="21"/>
        <v>103.76990718124084</v>
      </c>
      <c r="O36" s="131">
        <f t="shared" si="11"/>
        <v>520.83333333333337</v>
      </c>
      <c r="P36" s="136">
        <f t="shared" si="4"/>
        <v>-308.41633333333334</v>
      </c>
      <c r="Q36" s="137">
        <f t="shared" si="5"/>
        <v>40.784064000000001</v>
      </c>
      <c r="R36" s="137">
        <f t="shared" si="9"/>
        <v>16.993359999999999</v>
      </c>
      <c r="S36" s="134">
        <v>558.79899999999998</v>
      </c>
      <c r="T36" s="136">
        <f t="shared" si="6"/>
        <v>-346.38199999999995</v>
      </c>
      <c r="U36" s="137">
        <f t="shared" si="22"/>
        <v>38.013131734308757</v>
      </c>
      <c r="V36" s="137">
        <v>103.2</v>
      </c>
    </row>
    <row r="37" spans="1:29" s="88" customFormat="1" ht="78" x14ac:dyDescent="0.25">
      <c r="A37" s="85" t="s">
        <v>212</v>
      </c>
      <c r="B37" s="150" t="s">
        <v>84</v>
      </c>
      <c r="C37" s="72" t="s">
        <v>83</v>
      </c>
      <c r="D37" s="133">
        <v>82</v>
      </c>
      <c r="E37" s="133">
        <f t="shared" si="7"/>
        <v>82</v>
      </c>
      <c r="F37" s="134">
        <f t="shared" si="8"/>
        <v>16.47</v>
      </c>
      <c r="G37" s="133">
        <v>7.79</v>
      </c>
      <c r="H37" s="133">
        <v>8.68</v>
      </c>
      <c r="I37" s="133">
        <v>0</v>
      </c>
      <c r="J37" s="133">
        <v>0</v>
      </c>
      <c r="K37" s="133">
        <v>0</v>
      </c>
      <c r="L37" s="135">
        <v>16.399999999999999</v>
      </c>
      <c r="M37" s="136">
        <f t="shared" si="3"/>
        <v>7.0000000000000284E-2</v>
      </c>
      <c r="N37" s="137">
        <f t="shared" si="21"/>
        <v>100.42682926829269</v>
      </c>
      <c r="O37" s="131">
        <f t="shared" si="11"/>
        <v>34.166666666666664</v>
      </c>
      <c r="P37" s="136">
        <f t="shared" si="4"/>
        <v>-17.696666666666665</v>
      </c>
      <c r="Q37" s="137">
        <f t="shared" si="5"/>
        <v>48.204878048780486</v>
      </c>
      <c r="R37" s="137">
        <f t="shared" si="9"/>
        <v>20.085365853658534</v>
      </c>
      <c r="S37" s="134">
        <v>26.400000000000002</v>
      </c>
      <c r="T37" s="136">
        <f t="shared" si="6"/>
        <v>-9.9300000000000033</v>
      </c>
      <c r="U37" s="137">
        <f t="shared" si="22"/>
        <v>62.386363636363626</v>
      </c>
      <c r="V37" s="137">
        <v>84.5</v>
      </c>
    </row>
    <row r="38" spans="1:29" s="84" customFormat="1" ht="46.5" customHeight="1" x14ac:dyDescent="0.25">
      <c r="A38" s="80">
        <v>16</v>
      </c>
      <c r="B38" s="207" t="s">
        <v>37</v>
      </c>
      <c r="C38" s="81" t="s">
        <v>20</v>
      </c>
      <c r="D38" s="128">
        <v>12300</v>
      </c>
      <c r="E38" s="128">
        <f t="shared" si="7"/>
        <v>12300</v>
      </c>
      <c r="F38" s="129">
        <f t="shared" si="8"/>
        <v>4554.3519999999999</v>
      </c>
      <c r="G38" s="128">
        <v>1496.537</v>
      </c>
      <c r="H38" s="128">
        <v>908.92200000000003</v>
      </c>
      <c r="I38" s="128">
        <v>518.16800000000001</v>
      </c>
      <c r="J38" s="128">
        <v>785.06899999999996</v>
      </c>
      <c r="K38" s="128">
        <v>845.65599999999995</v>
      </c>
      <c r="L38" s="130">
        <v>4267.5</v>
      </c>
      <c r="M38" s="131">
        <f t="shared" si="3"/>
        <v>286.85199999999986</v>
      </c>
      <c r="N38" s="132">
        <f t="shared" si="21"/>
        <v>106.72178090216755</v>
      </c>
      <c r="O38" s="131">
        <f t="shared" si="11"/>
        <v>5125</v>
      </c>
      <c r="P38" s="131">
        <f t="shared" si="4"/>
        <v>-570.64800000000014</v>
      </c>
      <c r="Q38" s="132">
        <f t="shared" si="5"/>
        <v>88.865404878048778</v>
      </c>
      <c r="R38" s="132">
        <f t="shared" si="9"/>
        <v>37.027252032520323</v>
      </c>
      <c r="S38" s="129">
        <v>4743.1910000000007</v>
      </c>
      <c r="T38" s="131">
        <f t="shared" si="6"/>
        <v>-188.83900000000085</v>
      </c>
      <c r="U38" s="132">
        <f t="shared" si="22"/>
        <v>96.018735066751461</v>
      </c>
      <c r="V38" s="132">
        <v>91.7</v>
      </c>
      <c r="W38" s="82">
        <f>K38-'[1]2021'!$I$38</f>
        <v>-163.24600000000009</v>
      </c>
    </row>
    <row r="39" spans="1:29" s="84" customFormat="1" ht="29.25" customHeight="1" x14ac:dyDescent="0.25">
      <c r="A39" s="80">
        <f t="shared" ref="A39:A45" si="25">A38+1</f>
        <v>17</v>
      </c>
      <c r="B39" s="89" t="s">
        <v>56</v>
      </c>
      <c r="C39" s="81" t="s">
        <v>16</v>
      </c>
      <c r="D39" s="128">
        <v>600</v>
      </c>
      <c r="E39" s="128">
        <f t="shared" si="7"/>
        <v>600</v>
      </c>
      <c r="F39" s="129">
        <f t="shared" si="8"/>
        <v>126.78400000000001</v>
      </c>
      <c r="G39" s="128">
        <v>46.207000000000001</v>
      </c>
      <c r="H39" s="128">
        <v>38.993000000000002</v>
      </c>
      <c r="I39" s="128">
        <v>5.9279999999999999</v>
      </c>
      <c r="J39" s="128">
        <v>15.554</v>
      </c>
      <c r="K39" s="128">
        <v>20.102</v>
      </c>
      <c r="L39" s="130">
        <v>120.101</v>
      </c>
      <c r="M39" s="131">
        <f t="shared" si="3"/>
        <v>6.6830000000000069</v>
      </c>
      <c r="N39" s="132">
        <f t="shared" si="21"/>
        <v>105.5644832266176</v>
      </c>
      <c r="O39" s="131">
        <f t="shared" si="11"/>
        <v>250</v>
      </c>
      <c r="P39" s="131">
        <f t="shared" si="4"/>
        <v>-123.21599999999999</v>
      </c>
      <c r="Q39" s="132">
        <f t="shared" si="5"/>
        <v>50.7136</v>
      </c>
      <c r="R39" s="132">
        <f t="shared" si="9"/>
        <v>21.130666666666666</v>
      </c>
      <c r="S39" s="129">
        <v>188.029</v>
      </c>
      <c r="T39" s="131">
        <f t="shared" si="6"/>
        <v>-61.24499999999999</v>
      </c>
      <c r="U39" s="132">
        <f t="shared" si="22"/>
        <v>67.427896760606075</v>
      </c>
      <c r="V39" s="132">
        <v>70.5</v>
      </c>
      <c r="W39" s="83">
        <f>100-U39</f>
        <v>32.572103239393925</v>
      </c>
    </row>
    <row r="40" spans="1:29" s="84" customFormat="1" ht="63" customHeight="1" x14ac:dyDescent="0.25">
      <c r="A40" s="80">
        <f t="shared" si="25"/>
        <v>18</v>
      </c>
      <c r="B40" s="89" t="s">
        <v>105</v>
      </c>
      <c r="C40" s="81" t="s">
        <v>104</v>
      </c>
      <c r="D40" s="128">
        <v>2.6</v>
      </c>
      <c r="E40" s="128">
        <f t="shared" si="7"/>
        <v>2.6</v>
      </c>
      <c r="F40" s="129">
        <f t="shared" si="8"/>
        <v>0</v>
      </c>
      <c r="G40" s="128">
        <v>0</v>
      </c>
      <c r="H40" s="128">
        <v>0</v>
      </c>
      <c r="I40" s="128">
        <v>0</v>
      </c>
      <c r="J40" s="128">
        <v>0</v>
      </c>
      <c r="K40" s="128">
        <v>0</v>
      </c>
      <c r="L40" s="130">
        <v>0</v>
      </c>
      <c r="M40" s="131">
        <f t="shared" si="3"/>
        <v>0</v>
      </c>
      <c r="N40" s="132"/>
      <c r="O40" s="131">
        <f t="shared" si="11"/>
        <v>1.0833333333333335</v>
      </c>
      <c r="P40" s="131">
        <f t="shared" si="4"/>
        <v>-1.0833333333333335</v>
      </c>
      <c r="Q40" s="132"/>
      <c r="R40" s="132">
        <f t="shared" si="9"/>
        <v>0</v>
      </c>
      <c r="S40" s="129">
        <v>0</v>
      </c>
      <c r="T40" s="131">
        <f t="shared" si="6"/>
        <v>0</v>
      </c>
      <c r="U40" s="132"/>
      <c r="V40" s="132">
        <v>100</v>
      </c>
    </row>
    <row r="41" spans="1:29" s="84" customFormat="1" ht="23.25" x14ac:dyDescent="0.25">
      <c r="A41" s="80">
        <f t="shared" si="25"/>
        <v>19</v>
      </c>
      <c r="B41" s="114" t="s">
        <v>63</v>
      </c>
      <c r="C41" s="34" t="s">
        <v>64</v>
      </c>
      <c r="D41" s="128">
        <v>235</v>
      </c>
      <c r="E41" s="128">
        <f t="shared" si="7"/>
        <v>235</v>
      </c>
      <c r="F41" s="129">
        <f t="shared" si="8"/>
        <v>0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30">
        <v>0</v>
      </c>
      <c r="M41" s="131">
        <f t="shared" si="3"/>
        <v>0</v>
      </c>
      <c r="N41" s="132"/>
      <c r="O41" s="131">
        <f t="shared" si="11"/>
        <v>97.916666666666657</v>
      </c>
      <c r="P41" s="131">
        <f t="shared" si="4"/>
        <v>-97.916666666666657</v>
      </c>
      <c r="Q41" s="132">
        <f t="shared" ref="Q41:Q47" si="26">F41/O41*100</f>
        <v>0</v>
      </c>
      <c r="R41" s="132">
        <f t="shared" si="9"/>
        <v>0</v>
      </c>
      <c r="S41" s="129">
        <v>0</v>
      </c>
      <c r="T41" s="131">
        <f t="shared" si="6"/>
        <v>0</v>
      </c>
      <c r="U41" s="132"/>
      <c r="V41" s="132">
        <v>56.1</v>
      </c>
    </row>
    <row r="42" spans="1:29" s="84" customFormat="1" ht="29.25" customHeight="1" x14ac:dyDescent="0.25">
      <c r="A42" s="80">
        <f t="shared" si="25"/>
        <v>20</v>
      </c>
      <c r="B42" s="89" t="s">
        <v>8</v>
      </c>
      <c r="C42" s="81" t="s">
        <v>21</v>
      </c>
      <c r="D42" s="128">
        <v>1700</v>
      </c>
      <c r="E42" s="128">
        <f t="shared" si="7"/>
        <v>1700</v>
      </c>
      <c r="F42" s="129">
        <f t="shared" si="8"/>
        <v>511.94400000000007</v>
      </c>
      <c r="G42" s="128">
        <v>229.78800000000001</v>
      </c>
      <c r="H42" s="128">
        <v>139.07599999999999</v>
      </c>
      <c r="I42" s="128">
        <v>28.978999999999999</v>
      </c>
      <c r="J42" s="128">
        <v>35.814</v>
      </c>
      <c r="K42" s="128">
        <v>78.287000000000006</v>
      </c>
      <c r="L42" s="130">
        <v>484</v>
      </c>
      <c r="M42" s="131">
        <f t="shared" si="3"/>
        <v>27.944000000000074</v>
      </c>
      <c r="N42" s="132">
        <f>F42/L42*100</f>
        <v>105.77355371900828</v>
      </c>
      <c r="O42" s="131">
        <f t="shared" si="11"/>
        <v>708.33333333333326</v>
      </c>
      <c r="P42" s="131">
        <f t="shared" si="4"/>
        <v>-196.38933333333318</v>
      </c>
      <c r="Q42" s="132">
        <f t="shared" si="26"/>
        <v>72.27444705882354</v>
      </c>
      <c r="R42" s="132">
        <f t="shared" si="9"/>
        <v>30.114352941176474</v>
      </c>
      <c r="S42" s="129">
        <v>723.06200000000001</v>
      </c>
      <c r="T42" s="131">
        <f t="shared" si="6"/>
        <v>-211.11799999999994</v>
      </c>
      <c r="U42" s="132">
        <f>F42/S42*100</f>
        <v>70.80222719490169</v>
      </c>
      <c r="V42" s="132">
        <v>102</v>
      </c>
      <c r="Z42" s="84">
        <v>246438.04</v>
      </c>
    </row>
    <row r="43" spans="1:29" s="84" customFormat="1" ht="104.25" customHeight="1" x14ac:dyDescent="0.25">
      <c r="A43" s="80">
        <f t="shared" si="25"/>
        <v>21</v>
      </c>
      <c r="B43" s="89" t="s">
        <v>55</v>
      </c>
      <c r="C43" s="81" t="s">
        <v>49</v>
      </c>
      <c r="D43" s="128">
        <v>1000</v>
      </c>
      <c r="E43" s="128">
        <f t="shared" si="7"/>
        <v>1000</v>
      </c>
      <c r="F43" s="129">
        <f t="shared" si="8"/>
        <v>278.75</v>
      </c>
      <c r="G43" s="128">
        <v>162.79300000000001</v>
      </c>
      <c r="H43" s="128">
        <v>1.9590000000000001</v>
      </c>
      <c r="I43" s="128">
        <v>97.171000000000006</v>
      </c>
      <c r="J43" s="128">
        <v>0</v>
      </c>
      <c r="K43" s="128">
        <v>16.827000000000002</v>
      </c>
      <c r="L43" s="130">
        <v>278.7</v>
      </c>
      <c r="M43" s="131">
        <f t="shared" si="3"/>
        <v>5.0000000000011369E-2</v>
      </c>
      <c r="N43" s="132">
        <f>F43/L43*100</f>
        <v>100.01794043774667</v>
      </c>
      <c r="O43" s="131">
        <f t="shared" si="11"/>
        <v>416.66666666666663</v>
      </c>
      <c r="P43" s="131">
        <f t="shared" si="4"/>
        <v>-137.91666666666663</v>
      </c>
      <c r="Q43" s="132">
        <f t="shared" si="26"/>
        <v>66.900000000000006</v>
      </c>
      <c r="R43" s="132">
        <f t="shared" si="9"/>
        <v>27.875</v>
      </c>
      <c r="S43" s="129">
        <v>415.452</v>
      </c>
      <c r="T43" s="131">
        <f t="shared" si="6"/>
        <v>-136.702</v>
      </c>
      <c r="U43" s="132">
        <f>F43/S43*100</f>
        <v>67.09559708462109</v>
      </c>
      <c r="V43" s="132">
        <v>83.1</v>
      </c>
    </row>
    <row r="44" spans="1:29" s="84" customFormat="1" ht="58.5" x14ac:dyDescent="0.25">
      <c r="A44" s="80">
        <f t="shared" si="25"/>
        <v>22</v>
      </c>
      <c r="B44" s="89" t="s">
        <v>133</v>
      </c>
      <c r="C44" s="81" t="s">
        <v>132</v>
      </c>
      <c r="D44" s="128">
        <v>1</v>
      </c>
      <c r="E44" s="128">
        <f t="shared" si="7"/>
        <v>1</v>
      </c>
      <c r="F44" s="129">
        <f t="shared" si="8"/>
        <v>0</v>
      </c>
      <c r="G44" s="128">
        <v>0</v>
      </c>
      <c r="H44" s="128">
        <v>0</v>
      </c>
      <c r="I44" s="128">
        <v>0</v>
      </c>
      <c r="J44" s="128">
        <v>0</v>
      </c>
      <c r="K44" s="128">
        <v>0</v>
      </c>
      <c r="L44" s="130">
        <v>0</v>
      </c>
      <c r="M44" s="131">
        <f t="shared" si="3"/>
        <v>0</v>
      </c>
      <c r="N44" s="132"/>
      <c r="O44" s="131">
        <f t="shared" si="11"/>
        <v>0.41666666666666663</v>
      </c>
      <c r="P44" s="131">
        <f t="shared" si="4"/>
        <v>-0.41666666666666663</v>
      </c>
      <c r="Q44" s="132">
        <f t="shared" si="26"/>
        <v>0</v>
      </c>
      <c r="R44" s="132">
        <f t="shared" si="9"/>
        <v>0</v>
      </c>
      <c r="S44" s="129">
        <v>0</v>
      </c>
      <c r="T44" s="131">
        <f t="shared" si="6"/>
        <v>0</v>
      </c>
      <c r="U44" s="132"/>
      <c r="V44" s="132"/>
      <c r="X44" s="82">
        <f>F46-F42</f>
        <v>1695209.395</v>
      </c>
      <c r="Y44" s="82">
        <f>S46-S42</f>
        <v>1437716.6580000003</v>
      </c>
      <c r="Z44" s="83">
        <f>X44/Y44</f>
        <v>1.1790983888008897</v>
      </c>
    </row>
    <row r="45" spans="1:29" s="84" customFormat="1" ht="29.25" customHeight="1" x14ac:dyDescent="0.25">
      <c r="A45" s="80">
        <f t="shared" si="25"/>
        <v>23</v>
      </c>
      <c r="B45" s="89" t="s">
        <v>91</v>
      </c>
      <c r="C45" s="81" t="s">
        <v>90</v>
      </c>
      <c r="D45" s="128">
        <v>1</v>
      </c>
      <c r="E45" s="128">
        <f t="shared" si="7"/>
        <v>1</v>
      </c>
      <c r="F45" s="129">
        <f t="shared" si="8"/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30">
        <v>0</v>
      </c>
      <c r="M45" s="131">
        <f t="shared" si="3"/>
        <v>0</v>
      </c>
      <c r="N45" s="132"/>
      <c r="O45" s="131">
        <f t="shared" si="11"/>
        <v>0.41666666666666663</v>
      </c>
      <c r="P45" s="131">
        <f t="shared" si="4"/>
        <v>-0.41666666666666663</v>
      </c>
      <c r="Q45" s="132">
        <f t="shared" si="26"/>
        <v>0</v>
      </c>
      <c r="R45" s="132">
        <f t="shared" si="9"/>
        <v>0</v>
      </c>
      <c r="S45" s="129">
        <v>0</v>
      </c>
      <c r="T45" s="131">
        <f t="shared" si="6"/>
        <v>0</v>
      </c>
      <c r="U45" s="132"/>
      <c r="V45" s="132"/>
    </row>
    <row r="46" spans="1:29" s="95" customFormat="1" ht="31.5" customHeight="1" x14ac:dyDescent="0.3">
      <c r="A46" s="90"/>
      <c r="B46" s="91" t="s">
        <v>184</v>
      </c>
      <c r="C46" s="92"/>
      <c r="D46" s="92">
        <f>D7+D8+D9+D14+D19+D25+D26+D27+D28+D29+D30+D31+D33+D38+D39+D40+D41+D42+D43+D45+D44+D32</f>
        <v>4389459.9849999994</v>
      </c>
      <c r="E46" s="92">
        <f>E7+E8+E9+E14+E19+E25+E26+E27+E28+E29+E30+E31+E33+E38+E39+E40+E41+E42+E43+E45+E44+E32</f>
        <v>4389459.9849999994</v>
      </c>
      <c r="F46" s="92">
        <f>SUM(G46:K46)</f>
        <v>1695721.3389999999</v>
      </c>
      <c r="G46" s="92">
        <f>G7+G8+G9+G14+G19+G25+G26+G27+G28+G29+G30+G31+G33+G38+G39+G40+G41+G42+G43+G45+G44+G32</f>
        <v>303539.72700000007</v>
      </c>
      <c r="H46" s="92">
        <f>H7+H8+H9+H14+H19+H25+H26+H27+H28+H29+H30+H31+H33+H38+H39+H40+H41+H42+H43+H45+H44+H32+H18</f>
        <v>382603.97200000001</v>
      </c>
      <c r="I46" s="92">
        <f>I7+I8+I9+I14+I19+I25+I26+I27+I28+I29+I30+I31+I33+I38+I39+I40+I41+I42+I43+I45+I44+I32+I18</f>
        <v>298934.25099999999</v>
      </c>
      <c r="J46" s="92">
        <f>J7+J8+J9+J14+J19+J25+J26+J27+J28+J29+J30+J31+J33+J38+J39+J40+J41+J42+J43+J45+J44+J32+J18</f>
        <v>326149.27299999999</v>
      </c>
      <c r="K46" s="92">
        <f>K7+K8+K9+K14+K19+K25+K26+K27+K28+K29+K30+K31+K33+K38+K39+K40+K41+K42+K43+K45+K44+K32+K18</f>
        <v>384494.11599999998</v>
      </c>
      <c r="L46" s="92">
        <f>L7+L8+L9+L14+L19+L25+L26+L27+L28+L29+L30+L31+L33+L38+L39+L40+L41+L42+L43+L45+L44+L32</f>
        <v>1650859.1189999999</v>
      </c>
      <c r="M46" s="93">
        <f t="shared" si="3"/>
        <v>44862.219999999972</v>
      </c>
      <c r="N46" s="94">
        <f>F46/L46*100</f>
        <v>102.71750747739001</v>
      </c>
      <c r="O46" s="92">
        <f>O7+O8+O9+O14+O19+O25+O26+O27+O28+O29+O30+O31+O33+O38+O39+O40+O41+O42+O43+O45+O44+O32</f>
        <v>1828941.6604166664</v>
      </c>
      <c r="P46" s="93">
        <f t="shared" si="4"/>
        <v>-133220.3214166665</v>
      </c>
      <c r="Q46" s="94">
        <f t="shared" si="26"/>
        <v>92.7159884702765</v>
      </c>
      <c r="R46" s="94">
        <f t="shared" si="9"/>
        <v>38.631661862615211</v>
      </c>
      <c r="S46" s="92">
        <f>S7+S8+S9+S14+S19+S25+S26+S27+S28+S29+S30+S31+S33+S38+S39+S40+S41+S42+S43+S45+S44+S32</f>
        <v>1438439.7200000002</v>
      </c>
      <c r="T46" s="93">
        <f t="shared" si="6"/>
        <v>257281.61899999972</v>
      </c>
      <c r="U46" s="94">
        <f>F46/S46*100</f>
        <v>117.88615924760472</v>
      </c>
      <c r="V46" s="94">
        <v>117.9</v>
      </c>
      <c r="W46" s="96">
        <v>1438439.7199999997</v>
      </c>
      <c r="X46" s="96">
        <f>W46-S46</f>
        <v>0</v>
      </c>
      <c r="AA46" s="96" t="e">
        <f>#REF!-#REF!-#REF!</f>
        <v>#REF!</v>
      </c>
      <c r="AC46" s="95">
        <v>294547.38299999997</v>
      </c>
    </row>
    <row r="47" spans="1:29" s="10" customFormat="1" ht="36.75" customHeight="1" x14ac:dyDescent="0.25">
      <c r="A47" s="24">
        <v>1</v>
      </c>
      <c r="B47" s="64" t="s">
        <v>134</v>
      </c>
      <c r="C47" s="25" t="s">
        <v>57</v>
      </c>
      <c r="D47" s="138">
        <v>855684.1</v>
      </c>
      <c r="E47" s="138">
        <v>770115.7</v>
      </c>
      <c r="F47" s="129">
        <f t="shared" si="8"/>
        <v>346552.19999999995</v>
      </c>
      <c r="G47" s="128">
        <v>65887.7</v>
      </c>
      <c r="H47" s="128">
        <v>65887.7</v>
      </c>
      <c r="I47" s="128">
        <v>65887.7</v>
      </c>
      <c r="J47" s="128">
        <v>65887.7</v>
      </c>
      <c r="K47" s="128">
        <v>83001.399999999994</v>
      </c>
      <c r="L47" s="128">
        <v>346552.2</v>
      </c>
      <c r="M47" s="131">
        <f t="shared" si="3"/>
        <v>0</v>
      </c>
      <c r="N47" s="132">
        <f>F47/L47*100</f>
        <v>99.999999999999972</v>
      </c>
      <c r="O47" s="128">
        <f>D47</f>
        <v>855684.1</v>
      </c>
      <c r="P47" s="131">
        <f t="shared" si="4"/>
        <v>-509131.9</v>
      </c>
      <c r="Q47" s="132">
        <f t="shared" si="26"/>
        <v>40.500016302745365</v>
      </c>
      <c r="R47" s="132">
        <f t="shared" si="9"/>
        <v>45.000017529833499</v>
      </c>
      <c r="S47" s="129">
        <v>277903.10000000003</v>
      </c>
      <c r="T47" s="131">
        <f t="shared" si="6"/>
        <v>68649.099999999919</v>
      </c>
      <c r="U47" s="132">
        <f>F47/S47*100</f>
        <v>124.70253120602106</v>
      </c>
      <c r="V47" s="223"/>
      <c r="W47" s="45"/>
      <c r="X47" s="45"/>
      <c r="Y47" s="45"/>
      <c r="Z47" s="47"/>
    </row>
    <row r="48" spans="1:29" s="10" customFormat="1" ht="39" x14ac:dyDescent="0.25">
      <c r="A48" s="24">
        <f>A47+1</f>
        <v>2</v>
      </c>
      <c r="B48" s="64" t="s">
        <v>258</v>
      </c>
      <c r="C48" s="25" t="s">
        <v>247</v>
      </c>
      <c r="D48" s="138">
        <v>0</v>
      </c>
      <c r="E48" s="138">
        <f t="shared" ref="E48:E52" si="27">D48</f>
        <v>0</v>
      </c>
      <c r="F48" s="129">
        <f t="shared" si="8"/>
        <v>0</v>
      </c>
      <c r="G48" s="128">
        <v>0</v>
      </c>
      <c r="H48" s="128">
        <v>0</v>
      </c>
      <c r="I48" s="128">
        <v>0</v>
      </c>
      <c r="J48" s="128">
        <v>0</v>
      </c>
      <c r="K48" s="128">
        <v>0</v>
      </c>
      <c r="L48" s="128">
        <v>0</v>
      </c>
      <c r="M48" s="131">
        <f t="shared" si="3"/>
        <v>0</v>
      </c>
      <c r="N48" s="132"/>
      <c r="O48" s="128">
        <f t="shared" ref="O48:O52" si="28">D48</f>
        <v>0</v>
      </c>
      <c r="P48" s="131">
        <f t="shared" si="4"/>
        <v>0</v>
      </c>
      <c r="Q48" s="132"/>
      <c r="R48" s="132"/>
      <c r="S48" s="129">
        <v>3516</v>
      </c>
      <c r="T48" s="131">
        <f t="shared" si="6"/>
        <v>-3516</v>
      </c>
      <c r="U48" s="132"/>
      <c r="V48" s="223"/>
      <c r="W48" s="45"/>
      <c r="X48" s="45"/>
      <c r="Y48" s="45"/>
      <c r="Z48" s="47"/>
    </row>
    <row r="49" spans="1:26" s="10" customFormat="1" ht="37.5" customHeight="1" x14ac:dyDescent="0.25">
      <c r="A49" s="24">
        <f t="shared" ref="A49:A53" si="29">A48+1</f>
        <v>3</v>
      </c>
      <c r="B49" s="158" t="s">
        <v>259</v>
      </c>
      <c r="C49" s="161" t="s">
        <v>119</v>
      </c>
      <c r="D49" s="138">
        <v>29000</v>
      </c>
      <c r="E49" s="138">
        <f t="shared" si="27"/>
        <v>29000</v>
      </c>
      <c r="F49" s="129">
        <f t="shared" si="8"/>
        <v>12083.5</v>
      </c>
      <c r="G49" s="128">
        <v>2416.6999999999998</v>
      </c>
      <c r="H49" s="128">
        <v>2416.6999999999998</v>
      </c>
      <c r="I49" s="128">
        <v>2416.6999999999998</v>
      </c>
      <c r="J49" s="128">
        <v>2416.6999999999998</v>
      </c>
      <c r="K49" s="128">
        <v>2416.6999999999998</v>
      </c>
      <c r="L49" s="128">
        <v>12083.5</v>
      </c>
      <c r="M49" s="131">
        <f t="shared" si="3"/>
        <v>0</v>
      </c>
      <c r="N49" s="132">
        <f>F49/L49*100</f>
        <v>100</v>
      </c>
      <c r="O49" s="128">
        <f t="shared" si="28"/>
        <v>29000</v>
      </c>
      <c r="P49" s="131">
        <f t="shared" si="4"/>
        <v>-16916.5</v>
      </c>
      <c r="Q49" s="132">
        <f t="shared" ref="Q49" si="30">F49/O49*100</f>
        <v>41.66724137931034</v>
      </c>
      <c r="R49" s="132">
        <f t="shared" si="9"/>
        <v>41.66724137931034</v>
      </c>
      <c r="S49" s="129">
        <v>0</v>
      </c>
      <c r="T49" s="131">
        <f t="shared" si="6"/>
        <v>12083.5</v>
      </c>
      <c r="U49" s="132"/>
      <c r="V49" s="223"/>
      <c r="W49" s="45"/>
      <c r="X49" s="45"/>
      <c r="Y49" s="45"/>
      <c r="Z49" s="47"/>
    </row>
    <row r="50" spans="1:26" s="10" customFormat="1" ht="48.75" customHeight="1" x14ac:dyDescent="0.25">
      <c r="A50" s="24">
        <f t="shared" si="29"/>
        <v>4</v>
      </c>
      <c r="B50" s="158" t="s">
        <v>138</v>
      </c>
      <c r="C50" s="161" t="s">
        <v>128</v>
      </c>
      <c r="D50" s="138">
        <v>16764.740000000002</v>
      </c>
      <c r="E50" s="138">
        <v>13810.54</v>
      </c>
      <c r="F50" s="129">
        <f t="shared" si="8"/>
        <v>6789.7260000000006</v>
      </c>
      <c r="G50" s="128">
        <v>1290.8869999999999</v>
      </c>
      <c r="H50" s="128">
        <v>1290.886</v>
      </c>
      <c r="I50" s="128">
        <v>1290.886</v>
      </c>
      <c r="J50" s="128">
        <v>1290.886</v>
      </c>
      <c r="K50" s="128">
        <v>1626.181</v>
      </c>
      <c r="L50" s="130">
        <v>6789.7259999999997</v>
      </c>
      <c r="M50" s="131">
        <f t="shared" si="3"/>
        <v>0</v>
      </c>
      <c r="N50" s="132">
        <f>F50/L50*100</f>
        <v>100.00000000000003</v>
      </c>
      <c r="O50" s="128">
        <f t="shared" si="28"/>
        <v>16764.740000000002</v>
      </c>
      <c r="P50" s="131">
        <f t="shared" si="4"/>
        <v>-9975.014000000001</v>
      </c>
      <c r="Q50" s="132">
        <f>F50/O50*100</f>
        <v>40.500037578870888</v>
      </c>
      <c r="R50" s="132">
        <f t="shared" si="9"/>
        <v>49.163363633862254</v>
      </c>
      <c r="S50" s="129">
        <v>4442.5480000000007</v>
      </c>
      <c r="T50" s="131">
        <f t="shared" si="6"/>
        <v>2347.1779999999999</v>
      </c>
      <c r="U50" s="132">
        <f>F50/S50*100</f>
        <v>152.83404928883152</v>
      </c>
      <c r="V50" s="223"/>
    </row>
    <row r="51" spans="1:26" s="10" customFormat="1" ht="43.5" customHeight="1" x14ac:dyDescent="0.25">
      <c r="A51" s="24">
        <f t="shared" si="29"/>
        <v>5</v>
      </c>
      <c r="B51" s="158" t="s">
        <v>139</v>
      </c>
      <c r="C51" s="161">
        <v>41051200</v>
      </c>
      <c r="D51" s="138">
        <v>3718.5</v>
      </c>
      <c r="E51" s="138">
        <v>3346.6</v>
      </c>
      <c r="F51" s="129">
        <f t="shared" si="8"/>
        <v>972.60199999999998</v>
      </c>
      <c r="G51" s="128">
        <v>82.944999999999993</v>
      </c>
      <c r="H51" s="128">
        <v>230.36500000000001</v>
      </c>
      <c r="I51" s="128">
        <v>230.36500000000001</v>
      </c>
      <c r="J51" s="128">
        <v>230.36500000000001</v>
      </c>
      <c r="K51" s="128">
        <v>198.56200000000001</v>
      </c>
      <c r="L51" s="130">
        <v>1199.8340000000001</v>
      </c>
      <c r="M51" s="131">
        <f t="shared" si="3"/>
        <v>-227.23200000000008</v>
      </c>
      <c r="N51" s="132">
        <f>F51/L51*100</f>
        <v>81.061380157588459</v>
      </c>
      <c r="O51" s="128">
        <f t="shared" si="28"/>
        <v>3718.5</v>
      </c>
      <c r="P51" s="131">
        <f t="shared" si="4"/>
        <v>-2745.8980000000001</v>
      </c>
      <c r="Q51" s="132">
        <f>F51/O51*100</f>
        <v>26.155761731881132</v>
      </c>
      <c r="R51" s="132">
        <f t="shared" si="9"/>
        <v>29.062391681109183</v>
      </c>
      <c r="S51" s="129">
        <v>1133.4770000000001</v>
      </c>
      <c r="T51" s="131">
        <f t="shared" si="6"/>
        <v>-160.87500000000011</v>
      </c>
      <c r="U51" s="132">
        <f>F51/S51*100</f>
        <v>85.806946237109344</v>
      </c>
      <c r="V51" s="223"/>
    </row>
    <row r="52" spans="1:26" s="10" customFormat="1" ht="45.75" customHeight="1" x14ac:dyDescent="0.25">
      <c r="A52" s="24">
        <f t="shared" si="29"/>
        <v>6</v>
      </c>
      <c r="B52" s="163" t="s">
        <v>161</v>
      </c>
      <c r="C52" s="161" t="s">
        <v>137</v>
      </c>
      <c r="D52" s="138">
        <v>0</v>
      </c>
      <c r="E52" s="138">
        <f t="shared" si="27"/>
        <v>0</v>
      </c>
      <c r="F52" s="129">
        <f t="shared" si="8"/>
        <v>0</v>
      </c>
      <c r="G52" s="128">
        <v>0</v>
      </c>
      <c r="H52" s="128">
        <v>0</v>
      </c>
      <c r="I52" s="128">
        <v>0</v>
      </c>
      <c r="J52" s="128">
        <v>0</v>
      </c>
      <c r="K52" s="128">
        <v>0</v>
      </c>
      <c r="L52" s="130">
        <v>0</v>
      </c>
      <c r="M52" s="131">
        <f t="shared" si="3"/>
        <v>0</v>
      </c>
      <c r="N52" s="132"/>
      <c r="O52" s="128">
        <f t="shared" si="28"/>
        <v>0</v>
      </c>
      <c r="P52" s="131">
        <f t="shared" si="4"/>
        <v>0</v>
      </c>
      <c r="Q52" s="132"/>
      <c r="R52" s="132"/>
      <c r="S52" s="129">
        <v>7789.5510000000004</v>
      </c>
      <c r="T52" s="131">
        <f t="shared" si="6"/>
        <v>-7789.5510000000004</v>
      </c>
      <c r="U52" s="132"/>
      <c r="V52" s="223"/>
      <c r="W52" s="128"/>
      <c r="X52" s="128"/>
    </row>
    <row r="53" spans="1:26" s="10" customFormat="1" ht="26.25" customHeight="1" x14ac:dyDescent="0.25">
      <c r="A53" s="24">
        <f t="shared" si="29"/>
        <v>7</v>
      </c>
      <c r="B53" s="163" t="s">
        <v>136</v>
      </c>
      <c r="C53" s="161" t="s">
        <v>120</v>
      </c>
      <c r="D53" s="138">
        <f>SUM(D54:D57)</f>
        <v>4144</v>
      </c>
      <c r="E53" s="138">
        <f>SUM(E54:E57)</f>
        <v>4144</v>
      </c>
      <c r="F53" s="129">
        <f t="shared" si="8"/>
        <v>1482.8090000000002</v>
      </c>
      <c r="G53" s="128">
        <f t="shared" ref="G53:L53" si="31">SUM(G54:G57)</f>
        <v>0</v>
      </c>
      <c r="H53" s="128">
        <f t="shared" si="31"/>
        <v>69.319000000000003</v>
      </c>
      <c r="I53" s="128">
        <f t="shared" si="31"/>
        <v>2.609</v>
      </c>
      <c r="J53" s="128">
        <f t="shared" si="31"/>
        <v>835.69900000000007</v>
      </c>
      <c r="K53" s="128">
        <f t="shared" si="31"/>
        <v>575.18200000000002</v>
      </c>
      <c r="L53" s="128">
        <f t="shared" si="31"/>
        <v>1494.7809999999999</v>
      </c>
      <c r="M53" s="131">
        <f t="shared" si="3"/>
        <v>-11.971999999999753</v>
      </c>
      <c r="N53" s="132">
        <f t="shared" ref="N53:N57" si="32">F53/L53*100</f>
        <v>99.199079999009911</v>
      </c>
      <c r="O53" s="128">
        <f t="shared" ref="O53" si="33">L53</f>
        <v>1494.7809999999999</v>
      </c>
      <c r="P53" s="131">
        <f t="shared" si="4"/>
        <v>-11.971999999999753</v>
      </c>
      <c r="Q53" s="132">
        <f t="shared" ref="Q53:Q57" si="34">F53/O53*100</f>
        <v>99.199079999009911</v>
      </c>
      <c r="R53" s="132">
        <f t="shared" si="9"/>
        <v>35.782070463320473</v>
      </c>
      <c r="S53" s="129">
        <f>SUM(S54:S59)</f>
        <v>1075.318</v>
      </c>
      <c r="T53" s="131">
        <f t="shared" si="6"/>
        <v>407.49100000000021</v>
      </c>
      <c r="U53" s="132">
        <f>F53/S53*100</f>
        <v>137.8949296859162</v>
      </c>
      <c r="V53" s="223"/>
      <c r="W53" s="128">
        <v>5098.8379999999997</v>
      </c>
      <c r="X53" s="128">
        <f>W53-S53</f>
        <v>4023.5199999999995</v>
      </c>
    </row>
    <row r="54" spans="1:26" s="44" customFormat="1" ht="42.75" customHeight="1" x14ac:dyDescent="0.25">
      <c r="A54" s="43" t="s">
        <v>248</v>
      </c>
      <c r="B54" s="159" t="s">
        <v>162</v>
      </c>
      <c r="C54" s="113"/>
      <c r="D54" s="139">
        <v>105</v>
      </c>
      <c r="E54" s="139">
        <f t="shared" ref="E54:E59" si="35">D54</f>
        <v>105</v>
      </c>
      <c r="F54" s="134">
        <f t="shared" si="8"/>
        <v>31.788</v>
      </c>
      <c r="G54" s="133">
        <v>0</v>
      </c>
      <c r="H54" s="133">
        <v>10.734999999999999</v>
      </c>
      <c r="I54" s="133">
        <v>2.609</v>
      </c>
      <c r="J54" s="133">
        <f>11.002</f>
        <v>11.002000000000001</v>
      </c>
      <c r="K54" s="133">
        <v>7.4420000000000002</v>
      </c>
      <c r="L54" s="135">
        <v>43.76</v>
      </c>
      <c r="M54" s="136">
        <f t="shared" si="3"/>
        <v>-11.971999999999998</v>
      </c>
      <c r="N54" s="137">
        <f t="shared" si="32"/>
        <v>72.641681901279711</v>
      </c>
      <c r="O54" s="133">
        <f t="shared" ref="O54:O59" si="36">D54</f>
        <v>105</v>
      </c>
      <c r="P54" s="136">
        <f t="shared" si="4"/>
        <v>-73.212000000000003</v>
      </c>
      <c r="Q54" s="137">
        <f t="shared" si="34"/>
        <v>30.274285714285714</v>
      </c>
      <c r="R54" s="137">
        <f t="shared" si="9"/>
        <v>30.274285714285714</v>
      </c>
      <c r="S54" s="134">
        <v>43.759</v>
      </c>
      <c r="T54" s="136">
        <f t="shared" si="6"/>
        <v>-11.971</v>
      </c>
      <c r="U54" s="137">
        <f t="shared" ref="U54:U55" si="37">F54/S54*100</f>
        <v>72.643341941086405</v>
      </c>
      <c r="V54" s="223"/>
    </row>
    <row r="55" spans="1:26" s="44" customFormat="1" ht="40.5" x14ac:dyDescent="0.25">
      <c r="A55" s="43" t="s">
        <v>249</v>
      </c>
      <c r="B55" s="159" t="s">
        <v>163</v>
      </c>
      <c r="C55" s="113"/>
      <c r="D55" s="139">
        <v>1246.7</v>
      </c>
      <c r="E55" s="139">
        <f t="shared" si="35"/>
        <v>1246.7</v>
      </c>
      <c r="F55" s="134">
        <f t="shared" si="8"/>
        <v>381.92399999999998</v>
      </c>
      <c r="G55" s="133">
        <v>0</v>
      </c>
      <c r="H55" s="133">
        <v>58.584000000000003</v>
      </c>
      <c r="I55" s="133">
        <v>0</v>
      </c>
      <c r="J55" s="133">
        <f>65.714+117.526</f>
        <v>183.24</v>
      </c>
      <c r="K55" s="133">
        <v>140.1</v>
      </c>
      <c r="L55" s="135">
        <v>381.92399999999998</v>
      </c>
      <c r="M55" s="136">
        <f t="shared" si="3"/>
        <v>0</v>
      </c>
      <c r="N55" s="137">
        <f t="shared" si="32"/>
        <v>100</v>
      </c>
      <c r="O55" s="133">
        <f t="shared" si="36"/>
        <v>1246.7</v>
      </c>
      <c r="P55" s="136">
        <f t="shared" si="4"/>
        <v>-864.77600000000007</v>
      </c>
      <c r="Q55" s="137">
        <f t="shared" si="34"/>
        <v>30.634795861073233</v>
      </c>
      <c r="R55" s="137">
        <f t="shared" si="9"/>
        <v>30.634795861073233</v>
      </c>
      <c r="S55" s="134">
        <v>378.29999999999995</v>
      </c>
      <c r="T55" s="136">
        <f t="shared" si="6"/>
        <v>3.6240000000000236</v>
      </c>
      <c r="U55" s="137">
        <f t="shared" si="37"/>
        <v>100.95796986518637</v>
      </c>
      <c r="V55" s="223"/>
    </row>
    <row r="56" spans="1:26" s="44" customFormat="1" ht="60" x14ac:dyDescent="0.25">
      <c r="A56" s="43" t="s">
        <v>250</v>
      </c>
      <c r="B56" s="159" t="s">
        <v>164</v>
      </c>
      <c r="C56" s="113"/>
      <c r="D56" s="139">
        <v>292.3</v>
      </c>
      <c r="E56" s="139">
        <f t="shared" si="35"/>
        <v>292.3</v>
      </c>
      <c r="F56" s="134">
        <f t="shared" si="8"/>
        <v>146.136</v>
      </c>
      <c r="G56" s="133">
        <v>0</v>
      </c>
      <c r="H56" s="133">
        <v>0</v>
      </c>
      <c r="I56" s="133">
        <v>0</v>
      </c>
      <c r="J56" s="133">
        <v>146.136</v>
      </c>
      <c r="K56" s="133">
        <v>0</v>
      </c>
      <c r="L56" s="135">
        <v>146.136</v>
      </c>
      <c r="M56" s="136">
        <f t="shared" si="3"/>
        <v>0</v>
      </c>
      <c r="N56" s="137">
        <f t="shared" si="32"/>
        <v>100</v>
      </c>
      <c r="O56" s="133">
        <f t="shared" si="36"/>
        <v>292.3</v>
      </c>
      <c r="P56" s="136">
        <f t="shared" si="4"/>
        <v>-146.16400000000002</v>
      </c>
      <c r="Q56" s="137">
        <f t="shared" si="34"/>
        <v>49.995210400273685</v>
      </c>
      <c r="R56" s="137">
        <f t="shared" si="9"/>
        <v>49.995210400273685</v>
      </c>
      <c r="S56" s="134">
        <v>146.137</v>
      </c>
      <c r="T56" s="136">
        <f t="shared" si="6"/>
        <v>-1.0000000000047748E-3</v>
      </c>
      <c r="U56" s="137"/>
      <c r="V56" s="223"/>
    </row>
    <row r="57" spans="1:26" s="44" customFormat="1" ht="49.5" customHeight="1" x14ac:dyDescent="0.25">
      <c r="A57" s="43" t="s">
        <v>251</v>
      </c>
      <c r="B57" s="159" t="s">
        <v>165</v>
      </c>
      <c r="C57" s="113"/>
      <c r="D57" s="139">
        <v>2500</v>
      </c>
      <c r="E57" s="139">
        <f t="shared" si="35"/>
        <v>2500</v>
      </c>
      <c r="F57" s="134">
        <f t="shared" si="8"/>
        <v>922.96100000000001</v>
      </c>
      <c r="G57" s="133">
        <v>0</v>
      </c>
      <c r="H57" s="133">
        <v>0</v>
      </c>
      <c r="I57" s="133">
        <v>0</v>
      </c>
      <c r="J57" s="133">
        <v>495.32100000000003</v>
      </c>
      <c r="K57" s="133">
        <f>415.779+11.861</f>
        <v>427.64</v>
      </c>
      <c r="L57" s="135">
        <v>922.96100000000001</v>
      </c>
      <c r="M57" s="136">
        <f t="shared" si="3"/>
        <v>0</v>
      </c>
      <c r="N57" s="137">
        <f t="shared" si="32"/>
        <v>100</v>
      </c>
      <c r="O57" s="133">
        <f t="shared" si="36"/>
        <v>2500</v>
      </c>
      <c r="P57" s="136">
        <f t="shared" si="4"/>
        <v>-1577.039</v>
      </c>
      <c r="Q57" s="137">
        <f t="shared" si="34"/>
        <v>36.918440000000004</v>
      </c>
      <c r="R57" s="137">
        <f t="shared" si="9"/>
        <v>36.918440000000004</v>
      </c>
      <c r="S57" s="134">
        <v>0</v>
      </c>
      <c r="T57" s="136">
        <f t="shared" si="6"/>
        <v>922.96100000000001</v>
      </c>
      <c r="U57" s="137"/>
      <c r="V57" s="223"/>
    </row>
    <row r="58" spans="1:26" s="44" customFormat="1" ht="45.75" customHeight="1" x14ac:dyDescent="0.25">
      <c r="A58" s="43" t="s">
        <v>252</v>
      </c>
      <c r="B58" s="159" t="s">
        <v>260</v>
      </c>
      <c r="C58" s="113"/>
      <c r="D58" s="139">
        <v>0</v>
      </c>
      <c r="E58" s="139">
        <f t="shared" si="35"/>
        <v>0</v>
      </c>
      <c r="F58" s="134">
        <f t="shared" si="8"/>
        <v>0</v>
      </c>
      <c r="G58" s="133">
        <v>0</v>
      </c>
      <c r="H58" s="133">
        <v>0</v>
      </c>
      <c r="I58" s="133">
        <v>0</v>
      </c>
      <c r="J58" s="133">
        <v>0</v>
      </c>
      <c r="K58" s="133"/>
      <c r="L58" s="135">
        <v>0</v>
      </c>
      <c r="M58" s="136">
        <f t="shared" si="3"/>
        <v>0</v>
      </c>
      <c r="N58" s="137"/>
      <c r="O58" s="133">
        <f t="shared" si="36"/>
        <v>0</v>
      </c>
      <c r="P58" s="136">
        <f t="shared" si="4"/>
        <v>0</v>
      </c>
      <c r="Q58" s="137"/>
      <c r="R58" s="137"/>
      <c r="S58" s="134">
        <v>482.12200000000001</v>
      </c>
      <c r="T58" s="136">
        <f t="shared" si="6"/>
        <v>-482.12200000000001</v>
      </c>
      <c r="U58" s="137"/>
      <c r="V58" s="223"/>
    </row>
    <row r="59" spans="1:26" s="44" customFormat="1" ht="102" customHeight="1" x14ac:dyDescent="0.25">
      <c r="A59" s="43" t="s">
        <v>253</v>
      </c>
      <c r="B59" s="159" t="s">
        <v>261</v>
      </c>
      <c r="C59" s="113"/>
      <c r="D59" s="139">
        <v>0</v>
      </c>
      <c r="E59" s="139">
        <f t="shared" si="35"/>
        <v>0</v>
      </c>
      <c r="F59" s="134">
        <f t="shared" si="8"/>
        <v>0</v>
      </c>
      <c r="G59" s="135">
        <v>0</v>
      </c>
      <c r="H59" s="135">
        <v>0</v>
      </c>
      <c r="I59" s="135">
        <v>0</v>
      </c>
      <c r="J59" s="135">
        <v>0</v>
      </c>
      <c r="K59" s="135">
        <v>0</v>
      </c>
      <c r="L59" s="135">
        <v>0</v>
      </c>
      <c r="M59" s="136">
        <f t="shared" si="3"/>
        <v>0</v>
      </c>
      <c r="N59" s="137"/>
      <c r="O59" s="133">
        <f t="shared" si="36"/>
        <v>0</v>
      </c>
      <c r="P59" s="136">
        <f t="shared" si="4"/>
        <v>0</v>
      </c>
      <c r="Q59" s="137"/>
      <c r="R59" s="137"/>
      <c r="S59" s="134">
        <v>25</v>
      </c>
      <c r="T59" s="136">
        <f t="shared" si="6"/>
        <v>-25</v>
      </c>
      <c r="U59" s="137"/>
      <c r="V59" s="223"/>
    </row>
    <row r="60" spans="1:26" s="51" customFormat="1" ht="32.25" customHeight="1" x14ac:dyDescent="0.3">
      <c r="A60" s="48"/>
      <c r="B60" s="52" t="s">
        <v>31</v>
      </c>
      <c r="C60" s="49"/>
      <c r="D60" s="50">
        <f>D63+D62</f>
        <v>909311.34</v>
      </c>
      <c r="E60" s="50">
        <f>E63+E62</f>
        <v>820416.84</v>
      </c>
      <c r="F60" s="50">
        <f t="shared" si="8"/>
        <v>367880.83699999994</v>
      </c>
      <c r="G60" s="50">
        <f t="shared" ref="G60:L60" si="38">G63+G62</f>
        <v>69678.231999999989</v>
      </c>
      <c r="H60" s="50">
        <f t="shared" si="38"/>
        <v>69894.97</v>
      </c>
      <c r="I60" s="50">
        <f t="shared" si="38"/>
        <v>69828.259999999995</v>
      </c>
      <c r="J60" s="50">
        <f t="shared" si="38"/>
        <v>70661.349999999991</v>
      </c>
      <c r="K60" s="50">
        <f t="shared" si="38"/>
        <v>87818.024999999994</v>
      </c>
      <c r="L60" s="50">
        <f t="shared" si="38"/>
        <v>368120.04100000003</v>
      </c>
      <c r="M60" s="93">
        <f>F60-L60</f>
        <v>-239.20400000008522</v>
      </c>
      <c r="N60" s="94">
        <f>F60/L60*100</f>
        <v>99.935020109377831</v>
      </c>
      <c r="O60" s="50">
        <f>O63+O62</f>
        <v>906662.12099999993</v>
      </c>
      <c r="P60" s="93">
        <f>F60-O60</f>
        <v>-538781.28399999999</v>
      </c>
      <c r="Q60" s="94">
        <f>F60/O60*100</f>
        <v>40.575295744598549</v>
      </c>
      <c r="R60" s="94">
        <f t="shared" si="9"/>
        <v>44.840722308917982</v>
      </c>
      <c r="S60" s="50">
        <f>S63+S62</f>
        <v>295859.99400000006</v>
      </c>
      <c r="T60" s="93">
        <f>F60-S60</f>
        <v>72020.842999999877</v>
      </c>
      <c r="U60" s="94">
        <f>F60/S60*100</f>
        <v>124.34287989609028</v>
      </c>
      <c r="V60" s="223"/>
    </row>
    <row r="61" spans="1:26" s="13" customFormat="1" ht="23.25" hidden="1" customHeight="1" x14ac:dyDescent="0.25">
      <c r="A61" s="12"/>
      <c r="B61" s="197" t="s">
        <v>106</v>
      </c>
      <c r="C61" s="11"/>
      <c r="D61" s="140"/>
      <c r="E61" s="140"/>
      <c r="F61" s="141"/>
      <c r="G61" s="140"/>
      <c r="H61" s="140"/>
      <c r="I61" s="140"/>
      <c r="J61" s="140"/>
      <c r="K61" s="140"/>
      <c r="L61" s="140"/>
      <c r="M61" s="131"/>
      <c r="N61" s="132"/>
      <c r="O61" s="140"/>
      <c r="P61" s="98"/>
      <c r="Q61" s="99"/>
      <c r="R61" s="99"/>
      <c r="S61" s="141"/>
      <c r="T61" s="98"/>
      <c r="U61" s="99"/>
      <c r="V61" s="223"/>
    </row>
    <row r="62" spans="1:26" s="13" customFormat="1" ht="39" hidden="1" customHeight="1" x14ac:dyDescent="0.25">
      <c r="A62" s="12"/>
      <c r="B62" s="219" t="s">
        <v>121</v>
      </c>
      <c r="C62" s="26"/>
      <c r="D62" s="59">
        <f>D49</f>
        <v>29000</v>
      </c>
      <c r="E62" s="59">
        <f>E49</f>
        <v>29000</v>
      </c>
      <c r="F62" s="50">
        <f t="shared" si="8"/>
        <v>12083.5</v>
      </c>
      <c r="G62" s="59">
        <f t="shared" ref="G62:L62" si="39">G49</f>
        <v>2416.6999999999998</v>
      </c>
      <c r="H62" s="59">
        <f t="shared" si="39"/>
        <v>2416.6999999999998</v>
      </c>
      <c r="I62" s="59">
        <f t="shared" si="39"/>
        <v>2416.6999999999998</v>
      </c>
      <c r="J62" s="59">
        <f t="shared" si="39"/>
        <v>2416.6999999999998</v>
      </c>
      <c r="K62" s="59">
        <f t="shared" si="39"/>
        <v>2416.6999999999998</v>
      </c>
      <c r="L62" s="59">
        <f t="shared" si="39"/>
        <v>12083.5</v>
      </c>
      <c r="M62" s="98">
        <f>F62-L62</f>
        <v>0</v>
      </c>
      <c r="N62" s="99">
        <f>F62/L62*100</f>
        <v>100</v>
      </c>
      <c r="O62" s="59">
        <f>O49</f>
        <v>29000</v>
      </c>
      <c r="P62" s="98">
        <f>F62-O62</f>
        <v>-16916.5</v>
      </c>
      <c r="Q62" s="99">
        <f>F62/O62*100</f>
        <v>41.66724137931034</v>
      </c>
      <c r="R62" s="99">
        <f t="shared" si="9"/>
        <v>41.66724137931034</v>
      </c>
      <c r="S62" s="50">
        <f>S49</f>
        <v>0</v>
      </c>
      <c r="T62" s="98">
        <f>F62-S62</f>
        <v>12083.5</v>
      </c>
      <c r="U62" s="99"/>
      <c r="V62" s="223"/>
    </row>
    <row r="63" spans="1:26" s="13" customFormat="1" ht="39" hidden="1" customHeight="1" x14ac:dyDescent="0.25">
      <c r="A63" s="12"/>
      <c r="B63" s="219" t="s">
        <v>78</v>
      </c>
      <c r="C63" s="26"/>
      <c r="D63" s="59">
        <f>D64+D65</f>
        <v>880311.34</v>
      </c>
      <c r="E63" s="59">
        <f>E64+E65</f>
        <v>791416.84</v>
      </c>
      <c r="F63" s="50">
        <f t="shared" si="8"/>
        <v>355797.337</v>
      </c>
      <c r="G63" s="59">
        <f t="shared" ref="G63:L63" si="40">G64+G65</f>
        <v>67261.531999999992</v>
      </c>
      <c r="H63" s="59">
        <f t="shared" si="40"/>
        <v>67478.27</v>
      </c>
      <c r="I63" s="59">
        <f t="shared" si="40"/>
        <v>67411.56</v>
      </c>
      <c r="J63" s="59">
        <f t="shared" si="40"/>
        <v>68244.649999999994</v>
      </c>
      <c r="K63" s="59">
        <f t="shared" si="40"/>
        <v>85401.324999999997</v>
      </c>
      <c r="L63" s="59">
        <f t="shared" si="40"/>
        <v>356036.54100000003</v>
      </c>
      <c r="M63" s="98">
        <f>F63-L63</f>
        <v>-239.20400000002701</v>
      </c>
      <c r="N63" s="99">
        <f>F63/L63*100</f>
        <v>99.932814761280355</v>
      </c>
      <c r="O63" s="59">
        <f>O64+O65</f>
        <v>877662.12099999993</v>
      </c>
      <c r="P63" s="98">
        <f>F63-O63</f>
        <v>-521864.78399999993</v>
      </c>
      <c r="Q63" s="99">
        <f>F63/O63*100</f>
        <v>40.539215318374218</v>
      </c>
      <c r="R63" s="99">
        <f t="shared" si="9"/>
        <v>44.957008622662116</v>
      </c>
      <c r="S63" s="50">
        <f>S64+S65</f>
        <v>295859.99400000006</v>
      </c>
      <c r="T63" s="98">
        <f>F63-S63</f>
        <v>59937.342999999935</v>
      </c>
      <c r="U63" s="99">
        <f>F63/S63*100</f>
        <v>120.25868458579092</v>
      </c>
      <c r="V63" s="223"/>
    </row>
    <row r="64" spans="1:26" s="8" customFormat="1" ht="39" hidden="1" customHeight="1" x14ac:dyDescent="0.25">
      <c r="A64" s="14"/>
      <c r="B64" s="17" t="s">
        <v>110</v>
      </c>
      <c r="C64" s="17"/>
      <c r="D64" s="139">
        <f>D47</f>
        <v>855684.1</v>
      </c>
      <c r="E64" s="139">
        <f>E47</f>
        <v>770115.7</v>
      </c>
      <c r="F64" s="142">
        <f t="shared" si="8"/>
        <v>346552.19999999995</v>
      </c>
      <c r="G64" s="139">
        <f t="shared" ref="G64:L64" si="41">G47</f>
        <v>65887.7</v>
      </c>
      <c r="H64" s="139">
        <f t="shared" si="41"/>
        <v>65887.7</v>
      </c>
      <c r="I64" s="139">
        <f t="shared" si="41"/>
        <v>65887.7</v>
      </c>
      <c r="J64" s="139">
        <f t="shared" si="41"/>
        <v>65887.7</v>
      </c>
      <c r="K64" s="139">
        <f t="shared" si="41"/>
        <v>83001.399999999994</v>
      </c>
      <c r="L64" s="139">
        <f t="shared" si="41"/>
        <v>346552.2</v>
      </c>
      <c r="M64" s="136">
        <f>F64-L64</f>
        <v>0</v>
      </c>
      <c r="N64" s="137">
        <f>F64/L64*100</f>
        <v>99.999999999999972</v>
      </c>
      <c r="O64" s="139">
        <f>O47</f>
        <v>855684.1</v>
      </c>
      <c r="P64" s="136">
        <f>F64-O64</f>
        <v>-509131.9</v>
      </c>
      <c r="Q64" s="137">
        <f>F64/O64*100</f>
        <v>40.500016302745365</v>
      </c>
      <c r="R64" s="137">
        <f t="shared" si="9"/>
        <v>45.000017529833499</v>
      </c>
      <c r="S64" s="142">
        <f>S47+S48</f>
        <v>281419.10000000003</v>
      </c>
      <c r="T64" s="136">
        <f>F64-S64</f>
        <v>65133.099999999919</v>
      </c>
      <c r="U64" s="137">
        <f>F64/S64*100</f>
        <v>123.14452004146126</v>
      </c>
      <c r="V64" s="223"/>
    </row>
    <row r="65" spans="1:27" s="8" customFormat="1" ht="39" hidden="1" customHeight="1" x14ac:dyDescent="0.25">
      <c r="A65" s="14"/>
      <c r="B65" s="198" t="s">
        <v>109</v>
      </c>
      <c r="C65" s="17"/>
      <c r="D65" s="139">
        <f>D50+D53+D51+D52</f>
        <v>24627.24</v>
      </c>
      <c r="E65" s="139">
        <f>E50+E53+E51+E52</f>
        <v>21301.14</v>
      </c>
      <c r="F65" s="142">
        <f t="shared" si="8"/>
        <v>9245.1369999999988</v>
      </c>
      <c r="G65" s="139">
        <f t="shared" ref="G65:L65" si="42">G50+G53+G51+G52</f>
        <v>1373.8319999999999</v>
      </c>
      <c r="H65" s="139">
        <f t="shared" si="42"/>
        <v>1590.57</v>
      </c>
      <c r="I65" s="139">
        <f t="shared" si="42"/>
        <v>1523.86</v>
      </c>
      <c r="J65" s="139">
        <f t="shared" si="42"/>
        <v>2356.9499999999998</v>
      </c>
      <c r="K65" s="139">
        <f t="shared" si="42"/>
        <v>2399.9250000000002</v>
      </c>
      <c r="L65" s="139">
        <f t="shared" si="42"/>
        <v>9484.3410000000003</v>
      </c>
      <c r="M65" s="136">
        <f>F65-L65</f>
        <v>-239.20400000000154</v>
      </c>
      <c r="N65" s="137">
        <f>F65/L65*100</f>
        <v>97.477905950450307</v>
      </c>
      <c r="O65" s="139">
        <f>O50+O53+O51+O52</f>
        <v>21978.021000000001</v>
      </c>
      <c r="P65" s="136">
        <f>F65-O65</f>
        <v>-12732.884000000002</v>
      </c>
      <c r="Q65" s="137">
        <f>F65/O65*100</f>
        <v>42.065375221909193</v>
      </c>
      <c r="R65" s="137">
        <f t="shared" si="9"/>
        <v>43.402076133014475</v>
      </c>
      <c r="S65" s="142">
        <f>S50+S53+S51+S52</f>
        <v>14440.894</v>
      </c>
      <c r="T65" s="136">
        <f>F65-S65</f>
        <v>-5195.7570000000014</v>
      </c>
      <c r="U65" s="137">
        <f>F65/S65*100</f>
        <v>64.020530861870455</v>
      </c>
      <c r="V65" s="223"/>
    </row>
    <row r="66" spans="1:27" s="8" customFormat="1" ht="13.5" customHeight="1" x14ac:dyDescent="0.25">
      <c r="A66" s="14"/>
      <c r="B66" s="46"/>
      <c r="C66" s="17"/>
      <c r="D66" s="139"/>
      <c r="E66" s="139"/>
      <c r="F66" s="142"/>
      <c r="G66" s="139"/>
      <c r="H66" s="139"/>
      <c r="I66" s="139"/>
      <c r="J66" s="139"/>
      <c r="K66" s="139"/>
      <c r="L66" s="139"/>
      <c r="M66" s="136"/>
      <c r="N66" s="137"/>
      <c r="O66" s="139"/>
      <c r="P66" s="136"/>
      <c r="Q66" s="137"/>
      <c r="R66" s="137"/>
      <c r="S66" s="142"/>
      <c r="T66" s="136"/>
      <c r="U66" s="137"/>
      <c r="V66" s="223"/>
    </row>
    <row r="67" spans="1:27" s="174" customFormat="1" ht="36.75" customHeight="1" x14ac:dyDescent="0.3">
      <c r="A67" s="167"/>
      <c r="B67" s="168" t="s">
        <v>30</v>
      </c>
      <c r="C67" s="169"/>
      <c r="D67" s="170">
        <f>D60+D46</f>
        <v>5298771.3249999993</v>
      </c>
      <c r="E67" s="170">
        <f>E60+E46</f>
        <v>5209876.8249999993</v>
      </c>
      <c r="F67" s="170">
        <f t="shared" si="8"/>
        <v>2063602.176</v>
      </c>
      <c r="G67" s="170">
        <f t="shared" ref="G67:L67" si="43">G60+G46</f>
        <v>373217.95900000003</v>
      </c>
      <c r="H67" s="170">
        <f t="shared" si="43"/>
        <v>452498.94200000004</v>
      </c>
      <c r="I67" s="170">
        <f t="shared" si="43"/>
        <v>368762.511</v>
      </c>
      <c r="J67" s="170">
        <f t="shared" si="43"/>
        <v>396810.62299999996</v>
      </c>
      <c r="K67" s="170">
        <f t="shared" si="43"/>
        <v>472312.14099999995</v>
      </c>
      <c r="L67" s="170">
        <f t="shared" si="43"/>
        <v>2018979.16</v>
      </c>
      <c r="M67" s="171">
        <f>F67-L67</f>
        <v>44623.016000000061</v>
      </c>
      <c r="N67" s="172">
        <f>F67/L67*100</f>
        <v>102.21017714714797</v>
      </c>
      <c r="O67" s="170">
        <f>O60+O46</f>
        <v>2735603.7814166662</v>
      </c>
      <c r="P67" s="171">
        <f>F67-O67</f>
        <v>-672001.60541666625</v>
      </c>
      <c r="Q67" s="172">
        <f>F67/O67*100</f>
        <v>75.434980387815457</v>
      </c>
      <c r="R67" s="172">
        <f t="shared" si="9"/>
        <v>39.609423510698839</v>
      </c>
      <c r="S67" s="170">
        <f>S60+S46</f>
        <v>1734299.7140000002</v>
      </c>
      <c r="T67" s="171">
        <f>F67-S67</f>
        <v>329302.46199999982</v>
      </c>
      <c r="U67" s="172">
        <f>F67/S67*100</f>
        <v>118.98763283772298</v>
      </c>
      <c r="V67" s="223"/>
      <c r="W67" s="170">
        <v>1734299.7139999999</v>
      </c>
      <c r="X67" s="173">
        <f>W67-S67</f>
        <v>0</v>
      </c>
      <c r="AA67" s="173">
        <f>2708373.649-L67</f>
        <v>689394.48900000029</v>
      </c>
    </row>
    <row r="68" spans="1:27" s="10" customFormat="1" ht="31.5" customHeight="1" x14ac:dyDescent="0.25">
      <c r="A68" s="227" t="s">
        <v>10</v>
      </c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</row>
    <row r="69" spans="1:27" s="65" customFormat="1" ht="37.5" customHeight="1" x14ac:dyDescent="0.3">
      <c r="A69" s="24">
        <v>1</v>
      </c>
      <c r="B69" s="64" t="s">
        <v>13</v>
      </c>
      <c r="C69" s="25" t="s">
        <v>22</v>
      </c>
      <c r="D69" s="138">
        <f>D70+D71</f>
        <v>94437.012000000002</v>
      </c>
      <c r="E69" s="138">
        <f t="shared" ref="E69" si="44">D69</f>
        <v>94437.012000000002</v>
      </c>
      <c r="F69" s="129">
        <f t="shared" ref="F69:F101" si="45">SUM(G69:K69)</f>
        <v>38901.534</v>
      </c>
      <c r="G69" s="128">
        <f t="shared" ref="G69:L69" si="46">G70+G71</f>
        <v>6860.3910000000005</v>
      </c>
      <c r="H69" s="128">
        <f t="shared" si="46"/>
        <v>7771.8059999999996</v>
      </c>
      <c r="I69" s="128">
        <f t="shared" si="46"/>
        <v>11164.861000000001</v>
      </c>
      <c r="J69" s="128">
        <f t="shared" si="46"/>
        <v>3259.9669999999996</v>
      </c>
      <c r="K69" s="128">
        <f t="shared" si="46"/>
        <v>9844.509</v>
      </c>
      <c r="L69" s="130">
        <f t="shared" si="46"/>
        <v>39348.754999999997</v>
      </c>
      <c r="M69" s="131">
        <f t="shared" ref="M69:M84" si="47">F69-L69</f>
        <v>-447.22099999999773</v>
      </c>
      <c r="N69" s="132">
        <f>F69/L69*100</f>
        <v>98.863443074628407</v>
      </c>
      <c r="O69" s="131">
        <f t="shared" ref="O69" si="48">O70+O71</f>
        <v>39348.755000000005</v>
      </c>
      <c r="P69" s="131">
        <f t="shared" ref="P69:P84" si="49">F69-O69</f>
        <v>-447.22100000000501</v>
      </c>
      <c r="Q69" s="132">
        <f>F69/O69*100</f>
        <v>98.863443074628393</v>
      </c>
      <c r="R69" s="132">
        <f t="shared" si="9"/>
        <v>41.193101281095167</v>
      </c>
      <c r="S69" s="129">
        <f t="shared" ref="S69" si="50">S70+S71</f>
        <v>29370.665999999997</v>
      </c>
      <c r="T69" s="131">
        <f t="shared" ref="T69:T84" si="51">F69-S69</f>
        <v>9530.8680000000022</v>
      </c>
      <c r="U69" s="132">
        <f>F69/S69*100</f>
        <v>132.45029581555966</v>
      </c>
      <c r="V69" s="132">
        <v>72.3</v>
      </c>
    </row>
    <row r="70" spans="1:27" s="68" customFormat="1" ht="39" x14ac:dyDescent="0.3">
      <c r="A70" s="43" t="s">
        <v>126</v>
      </c>
      <c r="B70" s="111" t="s">
        <v>122</v>
      </c>
      <c r="C70" s="17" t="s">
        <v>123</v>
      </c>
      <c r="D70" s="139">
        <v>94437.012000000002</v>
      </c>
      <c r="E70" s="139">
        <f>D70</f>
        <v>94437.012000000002</v>
      </c>
      <c r="F70" s="134">
        <f t="shared" si="45"/>
        <v>19138.295999999998</v>
      </c>
      <c r="G70" s="133">
        <v>5377.3590000000004</v>
      </c>
      <c r="H70" s="133">
        <v>6381.8329999999996</v>
      </c>
      <c r="I70" s="133">
        <v>2956.0810000000001</v>
      </c>
      <c r="J70" s="133">
        <v>2199.915</v>
      </c>
      <c r="K70" s="133">
        <v>2223.1080000000002</v>
      </c>
      <c r="L70" s="135">
        <v>39348.754999999997</v>
      </c>
      <c r="M70" s="136">
        <f t="shared" si="47"/>
        <v>-20210.458999999999</v>
      </c>
      <c r="N70" s="137">
        <f>F70/L70*100</f>
        <v>48.63761509099843</v>
      </c>
      <c r="O70" s="136">
        <f>D70/12*5</f>
        <v>39348.755000000005</v>
      </c>
      <c r="P70" s="136">
        <f t="shared" si="49"/>
        <v>-20210.459000000006</v>
      </c>
      <c r="Q70" s="137">
        <f>F70/O70*100</f>
        <v>48.637615090998423</v>
      </c>
      <c r="R70" s="137">
        <f t="shared" si="9"/>
        <v>20.265672954582676</v>
      </c>
      <c r="S70" s="134">
        <v>24995.635999999999</v>
      </c>
      <c r="T70" s="136">
        <f t="shared" si="51"/>
        <v>-5857.34</v>
      </c>
      <c r="U70" s="137">
        <f>F70/S70*100</f>
        <v>76.56654945687319</v>
      </c>
      <c r="V70" s="137">
        <v>148.30000000000001</v>
      </c>
    </row>
    <row r="71" spans="1:27" s="68" customFormat="1" ht="33" customHeight="1" x14ac:dyDescent="0.3">
      <c r="A71" s="43" t="s">
        <v>127</v>
      </c>
      <c r="B71" s="111" t="s">
        <v>124</v>
      </c>
      <c r="C71" s="17" t="s">
        <v>125</v>
      </c>
      <c r="D71" s="139">
        <v>0</v>
      </c>
      <c r="E71" s="139">
        <f>D71</f>
        <v>0</v>
      </c>
      <c r="F71" s="134">
        <f t="shared" si="45"/>
        <v>19763.237999999998</v>
      </c>
      <c r="G71" s="133">
        <v>1483.0319999999999</v>
      </c>
      <c r="H71" s="133">
        <v>1389.973</v>
      </c>
      <c r="I71" s="133">
        <v>8208.7800000000007</v>
      </c>
      <c r="J71" s="133">
        <v>1060.0519999999999</v>
      </c>
      <c r="K71" s="133">
        <v>7621.4009999999998</v>
      </c>
      <c r="L71" s="135">
        <v>0</v>
      </c>
      <c r="M71" s="136">
        <f t="shared" si="47"/>
        <v>19763.237999999998</v>
      </c>
      <c r="N71" s="137"/>
      <c r="O71" s="136"/>
      <c r="P71" s="136">
        <f t="shared" si="49"/>
        <v>19763.237999999998</v>
      </c>
      <c r="Q71" s="137"/>
      <c r="R71" s="137"/>
      <c r="S71" s="134">
        <v>4375.0300000000007</v>
      </c>
      <c r="T71" s="136">
        <f t="shared" si="51"/>
        <v>15388.207999999997</v>
      </c>
      <c r="U71" s="137">
        <f>F71/S71*100</f>
        <v>451.72805672189662</v>
      </c>
      <c r="V71" s="224"/>
    </row>
    <row r="72" spans="1:27" s="65" customFormat="1" ht="39" x14ac:dyDescent="0.3">
      <c r="A72" s="24">
        <v>2</v>
      </c>
      <c r="B72" s="126" t="s">
        <v>200</v>
      </c>
      <c r="C72" s="25" t="s">
        <v>198</v>
      </c>
      <c r="D72" s="138"/>
      <c r="E72" s="138"/>
      <c r="F72" s="129">
        <f t="shared" si="45"/>
        <v>38.006</v>
      </c>
      <c r="G72" s="128">
        <v>0</v>
      </c>
      <c r="H72" s="128">
        <v>38.006</v>
      </c>
      <c r="I72" s="128">
        <v>0</v>
      </c>
      <c r="J72" s="128">
        <v>0</v>
      </c>
      <c r="K72" s="128">
        <v>0</v>
      </c>
      <c r="L72" s="130">
        <v>0</v>
      </c>
      <c r="M72" s="131"/>
      <c r="N72" s="132"/>
      <c r="O72" s="131"/>
      <c r="P72" s="131">
        <f t="shared" si="49"/>
        <v>38.006</v>
      </c>
      <c r="Q72" s="132"/>
      <c r="R72" s="132"/>
      <c r="S72" s="129">
        <v>0</v>
      </c>
      <c r="T72" s="131">
        <f t="shared" si="51"/>
        <v>38.006</v>
      </c>
      <c r="U72" s="132"/>
      <c r="V72" s="224"/>
    </row>
    <row r="73" spans="1:27" s="65" customFormat="1" ht="33.75" customHeight="1" x14ac:dyDescent="0.3">
      <c r="A73" s="24">
        <v>3</v>
      </c>
      <c r="B73" s="126" t="s">
        <v>34</v>
      </c>
      <c r="C73" s="25" t="s">
        <v>33</v>
      </c>
      <c r="D73" s="138">
        <v>2313.6999999999998</v>
      </c>
      <c r="E73" s="138">
        <f>D73</f>
        <v>2313.6999999999998</v>
      </c>
      <c r="F73" s="129">
        <f t="shared" si="45"/>
        <v>1107.3430000000001</v>
      </c>
      <c r="G73" s="128">
        <v>12.451000000000001</v>
      </c>
      <c r="H73" s="128">
        <v>361.55</v>
      </c>
      <c r="I73" s="128">
        <v>86.131</v>
      </c>
      <c r="J73" s="128">
        <v>210.38200000000001</v>
      </c>
      <c r="K73" s="128">
        <v>436.82900000000001</v>
      </c>
      <c r="L73" s="130">
        <v>1087.4059999999999</v>
      </c>
      <c r="M73" s="131">
        <f t="shared" si="47"/>
        <v>19.937000000000126</v>
      </c>
      <c r="N73" s="132">
        <f>F73/L73*100</f>
        <v>101.83344583347895</v>
      </c>
      <c r="O73" s="131">
        <f>D73/12*5</f>
        <v>964.04166666666652</v>
      </c>
      <c r="P73" s="131">
        <f t="shared" si="49"/>
        <v>143.30133333333356</v>
      </c>
      <c r="Q73" s="132">
        <f t="shared" ref="Q73:Q79" si="52">F73/O73*100</f>
        <v>114.86464105113026</v>
      </c>
      <c r="R73" s="132">
        <f t="shared" ref="R73:R92" si="53">F73/E73*100</f>
        <v>47.8602671046376</v>
      </c>
      <c r="S73" s="129">
        <v>854.08299999999997</v>
      </c>
      <c r="T73" s="131">
        <f t="shared" si="51"/>
        <v>253.2600000000001</v>
      </c>
      <c r="U73" s="132">
        <f>F73/S73*100</f>
        <v>129.65285575289522</v>
      </c>
      <c r="V73" s="132">
        <v>110</v>
      </c>
    </row>
    <row r="74" spans="1:27" s="65" customFormat="1" ht="39" x14ac:dyDescent="0.3">
      <c r="A74" s="24">
        <v>4</v>
      </c>
      <c r="B74" s="126" t="s">
        <v>201</v>
      </c>
      <c r="C74" s="25" t="s">
        <v>199</v>
      </c>
      <c r="D74" s="138"/>
      <c r="E74" s="138">
        <f t="shared" ref="E74:E77" si="54">D74</f>
        <v>0</v>
      </c>
      <c r="F74" s="129">
        <f t="shared" si="45"/>
        <v>0.46499999999999997</v>
      </c>
      <c r="G74" s="128">
        <v>0</v>
      </c>
      <c r="H74" s="128">
        <v>0.36</v>
      </c>
      <c r="I74" s="128">
        <v>0.105</v>
      </c>
      <c r="J74" s="128">
        <v>0</v>
      </c>
      <c r="K74" s="128">
        <v>0</v>
      </c>
      <c r="L74" s="130">
        <v>0</v>
      </c>
      <c r="M74" s="131">
        <f t="shared" si="47"/>
        <v>0.46499999999999997</v>
      </c>
      <c r="N74" s="132"/>
      <c r="O74" s="131"/>
      <c r="P74" s="131">
        <f t="shared" si="49"/>
        <v>0.46499999999999997</v>
      </c>
      <c r="Q74" s="132"/>
      <c r="R74" s="132"/>
      <c r="S74" s="129">
        <v>0</v>
      </c>
      <c r="T74" s="131">
        <f t="shared" si="51"/>
        <v>0.46499999999999997</v>
      </c>
      <c r="U74" s="132"/>
      <c r="V74" s="132"/>
    </row>
    <row r="75" spans="1:27" s="65" customFormat="1" ht="39" x14ac:dyDescent="0.3">
      <c r="A75" s="24">
        <v>5</v>
      </c>
      <c r="B75" s="126" t="s">
        <v>92</v>
      </c>
      <c r="C75" s="25">
        <v>21110000</v>
      </c>
      <c r="D75" s="138">
        <v>110</v>
      </c>
      <c r="E75" s="138">
        <f t="shared" si="54"/>
        <v>110</v>
      </c>
      <c r="F75" s="129">
        <f t="shared" si="45"/>
        <v>0</v>
      </c>
      <c r="G75" s="128">
        <v>0</v>
      </c>
      <c r="H75" s="128">
        <v>0</v>
      </c>
      <c r="I75" s="128">
        <v>0</v>
      </c>
      <c r="J75" s="128">
        <v>0</v>
      </c>
      <c r="K75" s="128">
        <v>0</v>
      </c>
      <c r="L75" s="130">
        <v>0</v>
      </c>
      <c r="M75" s="131">
        <f t="shared" si="47"/>
        <v>0</v>
      </c>
      <c r="N75" s="132"/>
      <c r="O75" s="131">
        <f t="shared" ref="O75:O76" si="55">D75/12*5</f>
        <v>45.833333333333329</v>
      </c>
      <c r="P75" s="131">
        <f t="shared" si="49"/>
        <v>-45.833333333333329</v>
      </c>
      <c r="Q75" s="132">
        <f t="shared" si="52"/>
        <v>0</v>
      </c>
      <c r="R75" s="132">
        <f t="shared" si="53"/>
        <v>0</v>
      </c>
      <c r="S75" s="129">
        <v>13.731999999999999</v>
      </c>
      <c r="T75" s="131">
        <f t="shared" si="51"/>
        <v>-13.731999999999999</v>
      </c>
      <c r="U75" s="132"/>
      <c r="V75" s="132">
        <v>58.3</v>
      </c>
    </row>
    <row r="76" spans="1:27" s="65" customFormat="1" ht="39" x14ac:dyDescent="0.3">
      <c r="A76" s="24">
        <f t="shared" ref="A76:A78" si="56">A75+1</f>
        <v>6</v>
      </c>
      <c r="B76" s="64" t="s">
        <v>27</v>
      </c>
      <c r="C76" s="25" t="s">
        <v>26</v>
      </c>
      <c r="D76" s="138">
        <v>20</v>
      </c>
      <c r="E76" s="138">
        <f t="shared" si="54"/>
        <v>20</v>
      </c>
      <c r="F76" s="129">
        <f t="shared" si="45"/>
        <v>14.481</v>
      </c>
      <c r="G76" s="128">
        <v>11.72</v>
      </c>
      <c r="H76" s="128">
        <v>2.343</v>
      </c>
      <c r="I76" s="128">
        <v>0</v>
      </c>
      <c r="J76" s="128">
        <v>0</v>
      </c>
      <c r="K76" s="128">
        <v>0.41799999999999998</v>
      </c>
      <c r="L76" s="130">
        <v>14.481</v>
      </c>
      <c r="M76" s="131">
        <f t="shared" si="47"/>
        <v>0</v>
      </c>
      <c r="N76" s="132">
        <f>F76/L76*100</f>
        <v>100</v>
      </c>
      <c r="O76" s="131">
        <f t="shared" si="55"/>
        <v>8.3333333333333339</v>
      </c>
      <c r="P76" s="131">
        <f t="shared" si="49"/>
        <v>6.1476666666666659</v>
      </c>
      <c r="Q76" s="132">
        <f t="shared" si="52"/>
        <v>173.77199999999999</v>
      </c>
      <c r="R76" s="132">
        <f t="shared" si="53"/>
        <v>72.405000000000001</v>
      </c>
      <c r="S76" s="129">
        <v>141.95599999999999</v>
      </c>
      <c r="T76" s="131">
        <f t="shared" si="51"/>
        <v>-127.47499999999999</v>
      </c>
      <c r="U76" s="132">
        <f>F76/S76*100</f>
        <v>10.201048212122068</v>
      </c>
      <c r="V76" s="132">
        <v>8.3000000000000007</v>
      </c>
    </row>
    <row r="77" spans="1:27" s="65" customFormat="1" ht="47.25" customHeight="1" x14ac:dyDescent="0.3">
      <c r="A77" s="24">
        <f t="shared" si="56"/>
        <v>7</v>
      </c>
      <c r="B77" s="64" t="s">
        <v>71</v>
      </c>
      <c r="C77" s="25" t="s">
        <v>72</v>
      </c>
      <c r="D77" s="138">
        <v>0</v>
      </c>
      <c r="E77" s="138">
        <f t="shared" si="54"/>
        <v>0</v>
      </c>
      <c r="F77" s="129">
        <f t="shared" si="45"/>
        <v>0</v>
      </c>
      <c r="G77" s="128">
        <v>0</v>
      </c>
      <c r="H77" s="128">
        <v>0</v>
      </c>
      <c r="I77" s="128">
        <v>0</v>
      </c>
      <c r="J77" s="128">
        <v>0</v>
      </c>
      <c r="K77" s="128">
        <v>0</v>
      </c>
      <c r="L77" s="130">
        <v>0</v>
      </c>
      <c r="M77" s="131">
        <f t="shared" si="47"/>
        <v>0</v>
      </c>
      <c r="N77" s="132"/>
      <c r="O77" s="131"/>
      <c r="P77" s="131">
        <f t="shared" si="49"/>
        <v>0</v>
      </c>
      <c r="Q77" s="132"/>
      <c r="R77" s="132"/>
      <c r="S77" s="129">
        <v>0.11800000000000001</v>
      </c>
      <c r="T77" s="131">
        <f t="shared" si="51"/>
        <v>-0.11800000000000001</v>
      </c>
      <c r="U77" s="132"/>
      <c r="V77" s="132"/>
    </row>
    <row r="78" spans="1:27" s="32" customFormat="1" ht="37.5" customHeight="1" x14ac:dyDescent="0.3">
      <c r="A78" s="12">
        <f t="shared" si="56"/>
        <v>8</v>
      </c>
      <c r="B78" s="16" t="s">
        <v>11</v>
      </c>
      <c r="C78" s="9"/>
      <c r="D78" s="59">
        <f>SUM(D79:D82)</f>
        <v>69003.199999999997</v>
      </c>
      <c r="E78" s="59">
        <f>SUM(E79:E82)</f>
        <v>69003.199999999997</v>
      </c>
      <c r="F78" s="50">
        <f t="shared" si="45"/>
        <v>18493.060000000001</v>
      </c>
      <c r="G78" s="59">
        <f t="shared" ref="G78:L78" si="57">SUM(G79:G82)</f>
        <v>7157.3879999999999</v>
      </c>
      <c r="H78" s="59">
        <f t="shared" si="57"/>
        <v>8333.3260000000009</v>
      </c>
      <c r="I78" s="59">
        <f t="shared" si="57"/>
        <v>847.39499999999998</v>
      </c>
      <c r="J78" s="59">
        <f t="shared" si="57"/>
        <v>575.39599999999996</v>
      </c>
      <c r="K78" s="59">
        <f t="shared" si="57"/>
        <v>1579.5550000000001</v>
      </c>
      <c r="L78" s="59">
        <f t="shared" si="57"/>
        <v>17470.3</v>
      </c>
      <c r="M78" s="59">
        <f t="shared" si="47"/>
        <v>1022.760000000002</v>
      </c>
      <c r="N78" s="99">
        <f>F78/L78*100</f>
        <v>105.85427840391981</v>
      </c>
      <c r="O78" s="59">
        <f>SUM(O79:O82)</f>
        <v>28751.333333333336</v>
      </c>
      <c r="P78" s="98">
        <f t="shared" si="49"/>
        <v>-10258.273333333334</v>
      </c>
      <c r="Q78" s="99">
        <f t="shared" si="52"/>
        <v>64.32070396735223</v>
      </c>
      <c r="R78" s="99">
        <f t="shared" si="53"/>
        <v>26.800293319730102</v>
      </c>
      <c r="S78" s="50">
        <f>SUM(S79:S82)</f>
        <v>31038.472999999998</v>
      </c>
      <c r="T78" s="98">
        <f t="shared" si="51"/>
        <v>-12545.412999999997</v>
      </c>
      <c r="U78" s="99">
        <f>F78/S78*100</f>
        <v>59.581088283563446</v>
      </c>
      <c r="V78" s="99">
        <v>67.8</v>
      </c>
      <c r="W78" s="66"/>
    </row>
    <row r="79" spans="1:27" s="68" customFormat="1" ht="39" x14ac:dyDescent="0.3">
      <c r="A79" s="14" t="s">
        <v>202</v>
      </c>
      <c r="B79" s="111" t="s">
        <v>150</v>
      </c>
      <c r="C79" s="17" t="s">
        <v>66</v>
      </c>
      <c r="D79" s="139">
        <v>3.2</v>
      </c>
      <c r="E79" s="139">
        <f t="shared" ref="E79:E83" si="58">D79</f>
        <v>3.2</v>
      </c>
      <c r="F79" s="134">
        <f t="shared" si="45"/>
        <v>0</v>
      </c>
      <c r="G79" s="133">
        <v>0</v>
      </c>
      <c r="H79" s="133">
        <v>0</v>
      </c>
      <c r="I79" s="133">
        <v>0</v>
      </c>
      <c r="J79" s="133">
        <v>0</v>
      </c>
      <c r="K79" s="133">
        <v>0</v>
      </c>
      <c r="L79" s="135">
        <v>0</v>
      </c>
      <c r="M79" s="136">
        <f t="shared" si="47"/>
        <v>0</v>
      </c>
      <c r="N79" s="137"/>
      <c r="O79" s="136">
        <f t="shared" ref="O79:O83" si="59">D79/12*5</f>
        <v>1.3333333333333333</v>
      </c>
      <c r="P79" s="136">
        <f t="shared" si="49"/>
        <v>-1.3333333333333333</v>
      </c>
      <c r="Q79" s="137">
        <f t="shared" si="52"/>
        <v>0</v>
      </c>
      <c r="R79" s="137">
        <f t="shared" si="53"/>
        <v>0</v>
      </c>
      <c r="S79" s="134">
        <v>0</v>
      </c>
      <c r="T79" s="136">
        <f t="shared" si="51"/>
        <v>0</v>
      </c>
      <c r="U79" s="137"/>
      <c r="V79" s="137">
        <v>100</v>
      </c>
    </row>
    <row r="80" spans="1:27" s="68" customFormat="1" ht="23.25" x14ac:dyDescent="0.3">
      <c r="A80" s="14" t="s">
        <v>203</v>
      </c>
      <c r="B80" s="111" t="s">
        <v>180</v>
      </c>
      <c r="C80" s="17" t="s">
        <v>47</v>
      </c>
      <c r="D80" s="139">
        <v>0</v>
      </c>
      <c r="E80" s="139">
        <f t="shared" si="58"/>
        <v>0</v>
      </c>
      <c r="F80" s="134">
        <f t="shared" si="45"/>
        <v>823.61800000000005</v>
      </c>
      <c r="G80" s="133">
        <v>12.75</v>
      </c>
      <c r="H80" s="133">
        <v>807.42100000000005</v>
      </c>
      <c r="I80" s="133">
        <v>3.4470000000000001</v>
      </c>
      <c r="J80" s="133">
        <v>0</v>
      </c>
      <c r="K80" s="133">
        <v>0</v>
      </c>
      <c r="L80" s="135">
        <v>0</v>
      </c>
      <c r="M80" s="136">
        <f t="shared" si="47"/>
        <v>823.61800000000005</v>
      </c>
      <c r="N80" s="137"/>
      <c r="O80" s="136">
        <f t="shared" si="59"/>
        <v>0</v>
      </c>
      <c r="P80" s="136">
        <f t="shared" si="49"/>
        <v>823.61800000000005</v>
      </c>
      <c r="Q80" s="137"/>
      <c r="R80" s="137"/>
      <c r="S80" s="134">
        <v>8850.4930000000004</v>
      </c>
      <c r="T80" s="136">
        <f t="shared" si="51"/>
        <v>-8026.875</v>
      </c>
      <c r="U80" s="137">
        <f>F80/S80*100</f>
        <v>9.3058996826504465</v>
      </c>
      <c r="V80" s="137"/>
    </row>
    <row r="81" spans="1:24" s="68" customFormat="1" ht="34.5" customHeight="1" x14ac:dyDescent="0.3">
      <c r="A81" s="14" t="s">
        <v>204</v>
      </c>
      <c r="B81" s="111" t="s">
        <v>39</v>
      </c>
      <c r="C81" s="17" t="s">
        <v>23</v>
      </c>
      <c r="D81" s="139">
        <v>19000</v>
      </c>
      <c r="E81" s="139">
        <f t="shared" si="58"/>
        <v>19000</v>
      </c>
      <c r="F81" s="134">
        <f t="shared" si="45"/>
        <v>6974.5780000000004</v>
      </c>
      <c r="G81" s="133">
        <v>3.9</v>
      </c>
      <c r="H81" s="133">
        <v>6190.4620000000004</v>
      </c>
      <c r="I81" s="133">
        <v>380.21600000000001</v>
      </c>
      <c r="J81" s="133">
        <v>0</v>
      </c>
      <c r="K81" s="133">
        <v>400</v>
      </c>
      <c r="L81" s="135">
        <v>6974</v>
      </c>
      <c r="M81" s="136">
        <f t="shared" si="47"/>
        <v>0.57800000000042928</v>
      </c>
      <c r="N81" s="137">
        <f>F81/L81*100</f>
        <v>100.00828792658447</v>
      </c>
      <c r="O81" s="136">
        <f t="shared" si="59"/>
        <v>7916.6666666666661</v>
      </c>
      <c r="P81" s="136">
        <f t="shared" si="49"/>
        <v>-942.08866666666563</v>
      </c>
      <c r="Q81" s="137">
        <f>F81/O81*100</f>
        <v>88.099932631578952</v>
      </c>
      <c r="R81" s="137">
        <f t="shared" si="53"/>
        <v>36.708305263157897</v>
      </c>
      <c r="S81" s="134">
        <v>4200.5239999999994</v>
      </c>
      <c r="T81" s="136">
        <f t="shared" si="51"/>
        <v>2774.054000000001</v>
      </c>
      <c r="U81" s="137">
        <f>F81/S81*100</f>
        <v>166.04066540269741</v>
      </c>
      <c r="V81" s="137">
        <v>105.1</v>
      </c>
    </row>
    <row r="82" spans="1:24" s="67" customFormat="1" ht="40.5" customHeight="1" x14ac:dyDescent="0.3">
      <c r="A82" s="14" t="s">
        <v>205</v>
      </c>
      <c r="B82" s="46" t="s">
        <v>73</v>
      </c>
      <c r="C82" s="17" t="s">
        <v>45</v>
      </c>
      <c r="D82" s="139">
        <v>50000</v>
      </c>
      <c r="E82" s="139">
        <f t="shared" si="58"/>
        <v>50000</v>
      </c>
      <c r="F82" s="142">
        <f t="shared" si="45"/>
        <v>10694.864000000001</v>
      </c>
      <c r="G82" s="139">
        <v>7140.7380000000003</v>
      </c>
      <c r="H82" s="139">
        <v>1335.443</v>
      </c>
      <c r="I82" s="139">
        <v>463.73200000000003</v>
      </c>
      <c r="J82" s="139">
        <v>575.39599999999996</v>
      </c>
      <c r="K82" s="139">
        <v>1179.5550000000001</v>
      </c>
      <c r="L82" s="139">
        <v>10496.3</v>
      </c>
      <c r="M82" s="136">
        <f t="shared" si="47"/>
        <v>198.56400000000212</v>
      </c>
      <c r="N82" s="137">
        <f>F82/L82*100</f>
        <v>101.89175233177407</v>
      </c>
      <c r="O82" s="136">
        <f t="shared" si="59"/>
        <v>20833.333333333336</v>
      </c>
      <c r="P82" s="136">
        <f t="shared" si="49"/>
        <v>-10138.469333333334</v>
      </c>
      <c r="Q82" s="137">
        <f>F82/O82*100</f>
        <v>51.335347200000001</v>
      </c>
      <c r="R82" s="137">
        <f t="shared" si="53"/>
        <v>21.389728000000002</v>
      </c>
      <c r="S82" s="142">
        <v>17987.455999999998</v>
      </c>
      <c r="T82" s="136">
        <f t="shared" si="51"/>
        <v>-7292.5919999999969</v>
      </c>
      <c r="U82" s="137">
        <f>F82/S82*100</f>
        <v>59.457346275093059</v>
      </c>
      <c r="V82" s="137">
        <v>78.3</v>
      </c>
    </row>
    <row r="83" spans="1:24" s="65" customFormat="1" ht="40.5" customHeight="1" x14ac:dyDescent="0.3">
      <c r="A83" s="24">
        <v>9</v>
      </c>
      <c r="B83" s="126" t="s">
        <v>12</v>
      </c>
      <c r="C83" s="25" t="s">
        <v>24</v>
      </c>
      <c r="D83" s="138">
        <v>6090</v>
      </c>
      <c r="E83" s="138">
        <f t="shared" si="58"/>
        <v>6090</v>
      </c>
      <c r="F83" s="129">
        <f t="shared" si="45"/>
        <v>2283.154</v>
      </c>
      <c r="G83" s="128">
        <v>783.11300000000006</v>
      </c>
      <c r="H83" s="128">
        <v>689.47400000000005</v>
      </c>
      <c r="I83" s="128">
        <v>223.41900000000001</v>
      </c>
      <c r="J83" s="128">
        <v>278.96499999999997</v>
      </c>
      <c r="K83" s="128">
        <v>308.18299999999999</v>
      </c>
      <c r="L83" s="130">
        <v>2222</v>
      </c>
      <c r="M83" s="131">
        <f t="shared" si="47"/>
        <v>61.153999999999996</v>
      </c>
      <c r="N83" s="132">
        <f>F83/L83*100</f>
        <v>102.75220522052204</v>
      </c>
      <c r="O83" s="131">
        <f t="shared" si="59"/>
        <v>2537.5</v>
      </c>
      <c r="P83" s="131">
        <f t="shared" si="49"/>
        <v>-254.346</v>
      </c>
      <c r="Q83" s="132">
        <f>F83/O83*100</f>
        <v>89.976512315270938</v>
      </c>
      <c r="R83" s="132">
        <f t="shared" si="53"/>
        <v>37.490213464696225</v>
      </c>
      <c r="S83" s="129">
        <v>1794.489</v>
      </c>
      <c r="T83" s="131">
        <f t="shared" si="51"/>
        <v>488.66499999999996</v>
      </c>
      <c r="U83" s="132">
        <f>F83/S83*100</f>
        <v>127.23142911436069</v>
      </c>
      <c r="V83" s="132">
        <v>59.3</v>
      </c>
    </row>
    <row r="84" spans="1:24" s="55" customFormat="1" ht="35.25" customHeight="1" x14ac:dyDescent="0.3">
      <c r="A84" s="53"/>
      <c r="B84" s="91" t="s">
        <v>184</v>
      </c>
      <c r="C84" s="54"/>
      <c r="D84" s="50">
        <f>D69+D73+D76+D77+D79+D80+D81+D82+D83+D75</f>
        <v>171973.91200000001</v>
      </c>
      <c r="E84" s="50">
        <f>E69+E73+E76+E77+E79+E80+E81+E82+E83+E75</f>
        <v>171973.91200000001</v>
      </c>
      <c r="F84" s="50">
        <f t="shared" si="45"/>
        <v>60838.042999999998</v>
      </c>
      <c r="G84" s="50">
        <f>G69+G73+G76+G77+G79+G80+G81+G82+G83+G75</f>
        <v>14825.063</v>
      </c>
      <c r="H84" s="50">
        <f>H69+H73+H76+H77+H79+H80+H81+H82+H83+H75+H72+H74</f>
        <v>17196.864999999998</v>
      </c>
      <c r="I84" s="50">
        <f>I69+I73+I76+I77+I79+I80+I81+I82+I83+I75+I72+I74</f>
        <v>12321.911</v>
      </c>
      <c r="J84" s="50">
        <f>J69+J73+J76+J77+J79+J80+J81+J82+J83+J75+J72+J74</f>
        <v>4324.71</v>
      </c>
      <c r="K84" s="50">
        <f>K69+K73+K76+K77+K79+K80+K81+K82+K83+K75+K72+K74</f>
        <v>12169.493999999999</v>
      </c>
      <c r="L84" s="50">
        <f>L69+L73+L76+L77+L79+L80+L81+L82+L83+L75</f>
        <v>60142.941999999995</v>
      </c>
      <c r="M84" s="93">
        <f t="shared" si="47"/>
        <v>695.10100000000239</v>
      </c>
      <c r="N84" s="94">
        <f>F84/L84*100</f>
        <v>101.15574825055948</v>
      </c>
      <c r="O84" s="93">
        <f>O69+O73+O76+O77+O79+O80+O81+O82+O83+O75</f>
        <v>71655.796666666676</v>
      </c>
      <c r="P84" s="93">
        <f t="shared" si="49"/>
        <v>-10817.753666666678</v>
      </c>
      <c r="Q84" s="94">
        <f>F84/O84*100</f>
        <v>84.903170197116864</v>
      </c>
      <c r="R84" s="94">
        <f t="shared" si="53"/>
        <v>35.376320915465357</v>
      </c>
      <c r="S84" s="50">
        <f>S69+S73+S76+S77+S79+S80+S81+S82+S83+S75</f>
        <v>63213.516999999993</v>
      </c>
      <c r="T84" s="93">
        <f t="shared" si="51"/>
        <v>-2375.4739999999947</v>
      </c>
      <c r="U84" s="94">
        <f>F84/S84*100</f>
        <v>96.242142325351082</v>
      </c>
      <c r="V84" s="94">
        <v>70.099999999999994</v>
      </c>
    </row>
    <row r="85" spans="1:24" s="71" customFormat="1" ht="22.5" x14ac:dyDescent="0.3">
      <c r="A85" s="70"/>
      <c r="B85" s="165"/>
      <c r="C85" s="58"/>
      <c r="D85" s="59"/>
      <c r="E85" s="59"/>
      <c r="F85" s="50"/>
      <c r="G85" s="59"/>
      <c r="H85" s="59"/>
      <c r="I85" s="59"/>
      <c r="J85" s="59"/>
      <c r="K85" s="59"/>
      <c r="L85" s="59"/>
      <c r="M85" s="98"/>
      <c r="N85" s="99"/>
      <c r="O85" s="98"/>
      <c r="P85" s="98"/>
      <c r="Q85" s="99"/>
      <c r="R85" s="99"/>
      <c r="S85" s="50"/>
      <c r="T85" s="98"/>
      <c r="U85" s="99"/>
      <c r="V85" s="225"/>
    </row>
    <row r="86" spans="1:24" s="27" customFormat="1" ht="58.5" x14ac:dyDescent="0.25">
      <c r="A86" s="24">
        <v>1</v>
      </c>
      <c r="B86" s="64" t="s">
        <v>140</v>
      </c>
      <c r="C86" s="25" t="s">
        <v>77</v>
      </c>
      <c r="D86" s="138">
        <v>22916.2</v>
      </c>
      <c r="E86" s="138">
        <v>120420</v>
      </c>
      <c r="F86" s="143">
        <f t="shared" si="45"/>
        <v>0</v>
      </c>
      <c r="G86" s="138">
        <v>0</v>
      </c>
      <c r="H86" s="138">
        <v>0</v>
      </c>
      <c r="I86" s="138">
        <v>0</v>
      </c>
      <c r="J86" s="138">
        <v>0</v>
      </c>
      <c r="K86" s="138">
        <v>0</v>
      </c>
      <c r="L86" s="138">
        <v>22916.2</v>
      </c>
      <c r="M86" s="131">
        <f>F86-L86</f>
        <v>-22916.2</v>
      </c>
      <c r="N86" s="144"/>
      <c r="O86" s="138">
        <f>D86</f>
        <v>22916.2</v>
      </c>
      <c r="P86" s="131">
        <f>F86-O86</f>
        <v>-22916.2</v>
      </c>
      <c r="Q86" s="144">
        <f>F86/O86*100</f>
        <v>0</v>
      </c>
      <c r="R86" s="144">
        <f t="shared" si="53"/>
        <v>0</v>
      </c>
      <c r="S86" s="143">
        <v>3858.3</v>
      </c>
      <c r="T86" s="131">
        <f>F86-S86</f>
        <v>-3858.3</v>
      </c>
      <c r="U86" s="132"/>
      <c r="V86" s="225"/>
    </row>
    <row r="87" spans="1:24" s="36" customFormat="1" ht="22.5" x14ac:dyDescent="0.25">
      <c r="A87" s="35"/>
      <c r="B87" s="100"/>
      <c r="C87" s="26"/>
      <c r="D87" s="59"/>
      <c r="E87" s="59"/>
      <c r="F87" s="50"/>
      <c r="G87" s="59"/>
      <c r="H87" s="59"/>
      <c r="I87" s="59"/>
      <c r="J87" s="59"/>
      <c r="K87" s="59"/>
      <c r="L87" s="59"/>
      <c r="M87" s="98"/>
      <c r="N87" s="99"/>
      <c r="O87" s="98"/>
      <c r="P87" s="98"/>
      <c r="Q87" s="99"/>
      <c r="R87" s="99"/>
      <c r="S87" s="50"/>
      <c r="T87" s="98"/>
      <c r="U87" s="99"/>
      <c r="V87" s="225"/>
    </row>
    <row r="88" spans="1:24" s="51" customFormat="1" ht="37.5" customHeight="1" x14ac:dyDescent="0.3">
      <c r="A88" s="48"/>
      <c r="B88" s="52" t="s">
        <v>31</v>
      </c>
      <c r="C88" s="54"/>
      <c r="D88" s="50">
        <f>D89+D90</f>
        <v>22916.2</v>
      </c>
      <c r="E88" s="50">
        <f>E89+E90</f>
        <v>22916.2</v>
      </c>
      <c r="F88" s="50">
        <f t="shared" si="45"/>
        <v>0</v>
      </c>
      <c r="G88" s="50">
        <f t="shared" ref="G88:L88" si="60">G89+G90</f>
        <v>0</v>
      </c>
      <c r="H88" s="50">
        <f t="shared" si="60"/>
        <v>0</v>
      </c>
      <c r="I88" s="50">
        <f t="shared" si="60"/>
        <v>0</v>
      </c>
      <c r="J88" s="50">
        <f t="shared" si="60"/>
        <v>0</v>
      </c>
      <c r="K88" s="50">
        <f t="shared" si="60"/>
        <v>0</v>
      </c>
      <c r="L88" s="50">
        <f t="shared" si="60"/>
        <v>22916.2</v>
      </c>
      <c r="M88" s="93">
        <f>F88-L88</f>
        <v>-22916.2</v>
      </c>
      <c r="N88" s="94">
        <f>F88/L88*100</f>
        <v>0</v>
      </c>
      <c r="O88" s="50">
        <f>O89+O90</f>
        <v>22916.2</v>
      </c>
      <c r="P88" s="93">
        <f>F88-O88</f>
        <v>-22916.2</v>
      </c>
      <c r="Q88" s="94">
        <f>F88/O88*100</f>
        <v>0</v>
      </c>
      <c r="R88" s="94">
        <f t="shared" si="53"/>
        <v>0</v>
      </c>
      <c r="S88" s="50">
        <f>S89+S90</f>
        <v>3858.3</v>
      </c>
      <c r="T88" s="93">
        <f>F88-S88</f>
        <v>-3858.3</v>
      </c>
      <c r="U88" s="94"/>
      <c r="V88" s="225"/>
    </row>
    <row r="89" spans="1:24" s="8" customFormat="1" ht="37.5" hidden="1" customHeight="1" x14ac:dyDescent="0.25">
      <c r="A89" s="14"/>
      <c r="B89" s="17" t="s">
        <v>110</v>
      </c>
      <c r="C89" s="17"/>
      <c r="D89" s="139">
        <f>D86</f>
        <v>22916.2</v>
      </c>
      <c r="E89" s="139">
        <f>D89</f>
        <v>22916.2</v>
      </c>
      <c r="F89" s="142">
        <f t="shared" si="45"/>
        <v>0</v>
      </c>
      <c r="G89" s="139">
        <f t="shared" ref="G89:L89" si="61">G86</f>
        <v>0</v>
      </c>
      <c r="H89" s="139">
        <f t="shared" si="61"/>
        <v>0</v>
      </c>
      <c r="I89" s="139">
        <f t="shared" si="61"/>
        <v>0</v>
      </c>
      <c r="J89" s="139">
        <f t="shared" si="61"/>
        <v>0</v>
      </c>
      <c r="K89" s="139">
        <f t="shared" si="61"/>
        <v>0</v>
      </c>
      <c r="L89" s="139">
        <f t="shared" si="61"/>
        <v>22916.2</v>
      </c>
      <c r="M89" s="136">
        <f>F89-L89</f>
        <v>-22916.2</v>
      </c>
      <c r="N89" s="137"/>
      <c r="O89" s="139">
        <f>O86</f>
        <v>22916.2</v>
      </c>
      <c r="P89" s="136">
        <f>F89-O89</f>
        <v>-22916.2</v>
      </c>
      <c r="Q89" s="137">
        <f>F89/O89*100</f>
        <v>0</v>
      </c>
      <c r="R89" s="137">
        <f t="shared" si="53"/>
        <v>0</v>
      </c>
      <c r="S89" s="142">
        <f>S86</f>
        <v>3858.3</v>
      </c>
      <c r="T89" s="136">
        <f>F89-S89</f>
        <v>-3858.3</v>
      </c>
      <c r="U89" s="137"/>
      <c r="V89" s="225"/>
    </row>
    <row r="90" spans="1:24" s="8" customFormat="1" ht="37.5" hidden="1" customHeight="1" x14ac:dyDescent="0.25">
      <c r="A90" s="14"/>
      <c r="B90" s="198" t="s">
        <v>109</v>
      </c>
      <c r="C90" s="17"/>
      <c r="D90" s="139">
        <v>0</v>
      </c>
      <c r="E90" s="139">
        <v>0</v>
      </c>
      <c r="F90" s="142">
        <f t="shared" si="45"/>
        <v>0</v>
      </c>
      <c r="G90" s="139">
        <v>0</v>
      </c>
      <c r="H90" s="139">
        <v>0</v>
      </c>
      <c r="I90" s="139">
        <v>0</v>
      </c>
      <c r="J90" s="139">
        <v>0</v>
      </c>
      <c r="K90" s="139">
        <v>0</v>
      </c>
      <c r="L90" s="139">
        <v>0</v>
      </c>
      <c r="M90" s="136">
        <f>F90-L90</f>
        <v>0</v>
      </c>
      <c r="N90" s="137"/>
      <c r="O90" s="139">
        <v>0</v>
      </c>
      <c r="P90" s="136">
        <f>F90-O90</f>
        <v>0</v>
      </c>
      <c r="Q90" s="137"/>
      <c r="R90" s="137"/>
      <c r="S90" s="142">
        <v>0</v>
      </c>
      <c r="T90" s="136">
        <f>F90-S90</f>
        <v>0</v>
      </c>
      <c r="U90" s="137"/>
      <c r="V90" s="225"/>
    </row>
    <row r="91" spans="1:24" s="10" customFormat="1" ht="23.25" x14ac:dyDescent="0.25">
      <c r="A91" s="24"/>
      <c r="B91" s="42"/>
      <c r="C91" s="25"/>
      <c r="D91" s="138"/>
      <c r="E91" s="138"/>
      <c r="F91" s="145"/>
      <c r="G91" s="146"/>
      <c r="H91" s="146"/>
      <c r="I91" s="146"/>
      <c r="J91" s="146"/>
      <c r="K91" s="146"/>
      <c r="L91" s="138"/>
      <c r="M91" s="131"/>
      <c r="N91" s="132"/>
      <c r="O91" s="138"/>
      <c r="P91" s="131"/>
      <c r="Q91" s="132"/>
      <c r="R91" s="132"/>
      <c r="S91" s="145"/>
      <c r="T91" s="131"/>
      <c r="U91" s="132"/>
      <c r="V91" s="225"/>
    </row>
    <row r="92" spans="1:24" s="174" customFormat="1" ht="44.25" customHeight="1" x14ac:dyDescent="0.3">
      <c r="A92" s="167"/>
      <c r="B92" s="168" t="s">
        <v>44</v>
      </c>
      <c r="C92" s="175"/>
      <c r="D92" s="170">
        <f>D84+D88</f>
        <v>194890.11200000002</v>
      </c>
      <c r="E92" s="170">
        <f>E84+E88</f>
        <v>194890.11200000002</v>
      </c>
      <c r="F92" s="170">
        <f t="shared" si="45"/>
        <v>60838.042999999998</v>
      </c>
      <c r="G92" s="170">
        <f t="shared" ref="G92:L92" si="62">G84+G88</f>
        <v>14825.063</v>
      </c>
      <c r="H92" s="170">
        <f t="shared" si="62"/>
        <v>17196.864999999998</v>
      </c>
      <c r="I92" s="170">
        <f t="shared" si="62"/>
        <v>12321.911</v>
      </c>
      <c r="J92" s="170">
        <f t="shared" si="62"/>
        <v>4324.71</v>
      </c>
      <c r="K92" s="170">
        <f t="shared" si="62"/>
        <v>12169.493999999999</v>
      </c>
      <c r="L92" s="170">
        <f t="shared" si="62"/>
        <v>83059.141999999993</v>
      </c>
      <c r="M92" s="171">
        <f>F92-L92</f>
        <v>-22221.098999999995</v>
      </c>
      <c r="N92" s="172">
        <f>F92/L92*100</f>
        <v>73.246654775220293</v>
      </c>
      <c r="O92" s="170">
        <f>O84+O88</f>
        <v>94571.996666666673</v>
      </c>
      <c r="P92" s="171">
        <f>F92-O92</f>
        <v>-33733.953666666675</v>
      </c>
      <c r="Q92" s="172">
        <f>F92/O92*100</f>
        <v>64.329870515933905</v>
      </c>
      <c r="R92" s="172">
        <f t="shared" si="53"/>
        <v>31.216587837970966</v>
      </c>
      <c r="S92" s="170">
        <f>S84+S88</f>
        <v>67071.816999999995</v>
      </c>
      <c r="T92" s="171">
        <f>F92-S92</f>
        <v>-6233.7739999999976</v>
      </c>
      <c r="U92" s="172">
        <f>F92/S92*100</f>
        <v>90.705822089179421</v>
      </c>
      <c r="V92" s="225"/>
      <c r="W92" s="174">
        <v>67071.81700000001</v>
      </c>
      <c r="X92" s="173">
        <f>W92-S92</f>
        <v>0</v>
      </c>
    </row>
    <row r="93" spans="1:24" s="13" customFormat="1" ht="32.25" customHeight="1" x14ac:dyDescent="0.25">
      <c r="A93" s="228" t="s">
        <v>43</v>
      </c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</row>
    <row r="94" spans="1:24" s="182" customFormat="1" ht="37.5" customHeight="1" x14ac:dyDescent="0.3">
      <c r="A94" s="184"/>
      <c r="B94" s="177" t="s">
        <v>184</v>
      </c>
      <c r="C94" s="178"/>
      <c r="D94" s="179">
        <f>D46+D84</f>
        <v>4561433.8969999999</v>
      </c>
      <c r="E94" s="179">
        <f>E46+E84</f>
        <v>4561433.8969999999</v>
      </c>
      <c r="F94" s="170">
        <f t="shared" si="45"/>
        <v>1756559.3820000002</v>
      </c>
      <c r="G94" s="179">
        <f t="shared" ref="G94:L94" si="63">G46+G84</f>
        <v>318364.7900000001</v>
      </c>
      <c r="H94" s="179">
        <f t="shared" si="63"/>
        <v>399800.837</v>
      </c>
      <c r="I94" s="179">
        <f t="shared" si="63"/>
        <v>311256.16200000001</v>
      </c>
      <c r="J94" s="179">
        <f t="shared" si="63"/>
        <v>330473.98300000001</v>
      </c>
      <c r="K94" s="179">
        <f t="shared" si="63"/>
        <v>396663.61</v>
      </c>
      <c r="L94" s="179">
        <f t="shared" si="63"/>
        <v>1711002.061</v>
      </c>
      <c r="M94" s="180">
        <f>F94-L94</f>
        <v>45557.321000000229</v>
      </c>
      <c r="N94" s="181">
        <f>F94/L94*100</f>
        <v>102.66261052738734</v>
      </c>
      <c r="O94" s="179">
        <f>O46+O84</f>
        <v>1900597.4570833331</v>
      </c>
      <c r="P94" s="180">
        <f>F94-O94</f>
        <v>-144038.07508333283</v>
      </c>
      <c r="Q94" s="181">
        <f>F94/O94*100</f>
        <v>92.421431768914687</v>
      </c>
      <c r="R94" s="181">
        <f t="shared" ref="R94:R101" si="64">F94/E94*100</f>
        <v>38.508929903714446</v>
      </c>
      <c r="S94" s="170">
        <f>S46+S84</f>
        <v>1501653.2370000002</v>
      </c>
      <c r="T94" s="180">
        <f>F94-S94</f>
        <v>254906.14500000002</v>
      </c>
      <c r="U94" s="181">
        <f>F94/S94*100</f>
        <v>116.97503383066325</v>
      </c>
      <c r="V94" s="172">
        <v>115</v>
      </c>
    </row>
    <row r="95" spans="1:24" s="32" customFormat="1" ht="22.5" customHeight="1" x14ac:dyDescent="0.3">
      <c r="A95" s="12"/>
      <c r="B95" s="16"/>
      <c r="C95" s="26"/>
      <c r="D95" s="59"/>
      <c r="E95" s="59"/>
      <c r="F95" s="50"/>
      <c r="G95" s="59"/>
      <c r="H95" s="59"/>
      <c r="I95" s="59"/>
      <c r="J95" s="59"/>
      <c r="K95" s="59"/>
      <c r="L95" s="59"/>
      <c r="M95" s="98"/>
      <c r="N95" s="99"/>
      <c r="O95" s="59"/>
      <c r="P95" s="98"/>
      <c r="Q95" s="99"/>
      <c r="R95" s="99"/>
      <c r="S95" s="50"/>
      <c r="T95" s="98"/>
      <c r="U95" s="99"/>
      <c r="V95" s="226"/>
    </row>
    <row r="96" spans="1:24" s="60" customFormat="1" ht="39" customHeight="1" x14ac:dyDescent="0.3">
      <c r="A96" s="56"/>
      <c r="B96" s="61" t="s">
        <v>31</v>
      </c>
      <c r="C96" s="58"/>
      <c r="D96" s="59">
        <f>D60+D88</f>
        <v>932227.53999999992</v>
      </c>
      <c r="E96" s="59">
        <f>E60+E88</f>
        <v>843333.03999999992</v>
      </c>
      <c r="F96" s="50">
        <f t="shared" si="45"/>
        <v>367880.83699999994</v>
      </c>
      <c r="G96" s="59">
        <f t="shared" ref="G96:L96" si="65">G60+G88</f>
        <v>69678.231999999989</v>
      </c>
      <c r="H96" s="59">
        <f t="shared" si="65"/>
        <v>69894.97</v>
      </c>
      <c r="I96" s="59">
        <f t="shared" si="65"/>
        <v>69828.259999999995</v>
      </c>
      <c r="J96" s="59">
        <f t="shared" si="65"/>
        <v>70661.349999999991</v>
      </c>
      <c r="K96" s="59">
        <f t="shared" si="65"/>
        <v>87818.024999999994</v>
      </c>
      <c r="L96" s="59">
        <f t="shared" si="65"/>
        <v>391036.24100000004</v>
      </c>
      <c r="M96" s="98">
        <f>F96-L96</f>
        <v>-23155.404000000097</v>
      </c>
      <c r="N96" s="99">
        <f>F96/L96*100</f>
        <v>94.078450646726608</v>
      </c>
      <c r="O96" s="59">
        <f>O60+O88</f>
        <v>929578.32099999988</v>
      </c>
      <c r="P96" s="98">
        <f>F96-O96</f>
        <v>-561697.48399999994</v>
      </c>
      <c r="Q96" s="99">
        <f>F96/O96*100</f>
        <v>39.575023286284235</v>
      </c>
      <c r="R96" s="99">
        <f t="shared" si="64"/>
        <v>43.622248809319743</v>
      </c>
      <c r="S96" s="50">
        <f>S60+S88</f>
        <v>299718.29400000005</v>
      </c>
      <c r="T96" s="98">
        <f>F96-S96</f>
        <v>68162.542999999889</v>
      </c>
      <c r="U96" s="99">
        <f>F96/S96*100</f>
        <v>122.74220305017481</v>
      </c>
      <c r="V96" s="226"/>
    </row>
    <row r="97" spans="1:24" s="60" customFormat="1" ht="39" hidden="1" customHeight="1" x14ac:dyDescent="0.3">
      <c r="A97" s="191"/>
      <c r="B97" s="61" t="s">
        <v>78</v>
      </c>
      <c r="C97" s="58"/>
      <c r="D97" s="59">
        <f t="shared" ref="D97:E97" si="66">D98+D99</f>
        <v>903227.53999999992</v>
      </c>
      <c r="E97" s="59">
        <f t="shared" si="66"/>
        <v>814333.03999999992</v>
      </c>
      <c r="F97" s="50">
        <f t="shared" si="45"/>
        <v>355797.337</v>
      </c>
      <c r="G97" s="59">
        <f t="shared" ref="G97:L97" si="67">G98+G99</f>
        <v>67261.531999999992</v>
      </c>
      <c r="H97" s="59">
        <f t="shared" si="67"/>
        <v>67478.27</v>
      </c>
      <c r="I97" s="59">
        <f t="shared" si="67"/>
        <v>67411.56</v>
      </c>
      <c r="J97" s="59">
        <f t="shared" si="67"/>
        <v>68244.649999999994</v>
      </c>
      <c r="K97" s="59">
        <f t="shared" si="67"/>
        <v>85401.324999999997</v>
      </c>
      <c r="L97" s="59">
        <f t="shared" si="67"/>
        <v>378952.74100000004</v>
      </c>
      <c r="M97" s="98">
        <f>F97-L97</f>
        <v>-23155.404000000039</v>
      </c>
      <c r="N97" s="99">
        <f>F97/L97*100</f>
        <v>93.889632797246335</v>
      </c>
      <c r="O97" s="59">
        <f t="shared" ref="O97" si="68">O98+O99</f>
        <v>900578.32099999988</v>
      </c>
      <c r="P97" s="98">
        <f>F97-O97</f>
        <v>-544780.98399999994</v>
      </c>
      <c r="Q97" s="99">
        <f>F97/O97*100</f>
        <v>39.507650662179337</v>
      </c>
      <c r="R97" s="99">
        <f t="shared" si="64"/>
        <v>43.691870466167018</v>
      </c>
      <c r="S97" s="50">
        <f t="shared" ref="S97" si="69">S98+S99</f>
        <v>299718.29399999999</v>
      </c>
      <c r="T97" s="98">
        <f>F97-S97</f>
        <v>56079.043000000005</v>
      </c>
      <c r="U97" s="99">
        <f>F97/S97*100</f>
        <v>118.7105839458702</v>
      </c>
      <c r="V97" s="226"/>
    </row>
    <row r="98" spans="1:24" s="194" customFormat="1" ht="23.25" hidden="1" customHeight="1" x14ac:dyDescent="0.35">
      <c r="A98" s="192"/>
      <c r="B98" s="193" t="s">
        <v>110</v>
      </c>
      <c r="C98" s="193"/>
      <c r="D98" s="139">
        <f>D64+D89</f>
        <v>878600.29999999993</v>
      </c>
      <c r="E98" s="139">
        <f>E64+E89</f>
        <v>793031.89999999991</v>
      </c>
      <c r="F98" s="142">
        <f t="shared" si="45"/>
        <v>346552.19999999995</v>
      </c>
      <c r="G98" s="139">
        <f t="shared" ref="G98:L98" si="70">G64+G89</f>
        <v>65887.7</v>
      </c>
      <c r="H98" s="139">
        <f t="shared" si="70"/>
        <v>65887.7</v>
      </c>
      <c r="I98" s="139">
        <f t="shared" si="70"/>
        <v>65887.7</v>
      </c>
      <c r="J98" s="139">
        <f t="shared" si="70"/>
        <v>65887.7</v>
      </c>
      <c r="K98" s="139">
        <f t="shared" si="70"/>
        <v>83001.399999999994</v>
      </c>
      <c r="L98" s="139">
        <f t="shared" si="70"/>
        <v>369468.4</v>
      </c>
      <c r="M98" s="136">
        <f>F98-L98</f>
        <v>-22916.20000000007</v>
      </c>
      <c r="N98" s="137">
        <f>F98/L98*100</f>
        <v>93.797520978790047</v>
      </c>
      <c r="O98" s="139">
        <f>O64+O89</f>
        <v>878600.29999999993</v>
      </c>
      <c r="P98" s="136">
        <f>F98-O98</f>
        <v>-532048.1</v>
      </c>
      <c r="Q98" s="137">
        <f>F98/O98*100</f>
        <v>39.443669664123718</v>
      </c>
      <c r="R98" s="137">
        <f t="shared" si="64"/>
        <v>43.69965445274017</v>
      </c>
      <c r="S98" s="142">
        <f>S64+S89</f>
        <v>285277.40000000002</v>
      </c>
      <c r="T98" s="136">
        <f>F98-S98</f>
        <v>61274.79999999993</v>
      </c>
      <c r="U98" s="137">
        <f>F98/S98*100</f>
        <v>121.47902357494841</v>
      </c>
      <c r="V98" s="226"/>
    </row>
    <row r="99" spans="1:24" s="194" customFormat="1" ht="23.25" hidden="1" customHeight="1" x14ac:dyDescent="0.35">
      <c r="A99" s="192"/>
      <c r="B99" s="193" t="s">
        <v>109</v>
      </c>
      <c r="C99" s="193"/>
      <c r="D99" s="139">
        <f>D90+D65</f>
        <v>24627.24</v>
      </c>
      <c r="E99" s="139">
        <f>E90+E65</f>
        <v>21301.14</v>
      </c>
      <c r="F99" s="142">
        <f t="shared" si="45"/>
        <v>9245.1369999999988</v>
      </c>
      <c r="G99" s="139">
        <f t="shared" ref="G99:L99" si="71">G90+G65</f>
        <v>1373.8319999999999</v>
      </c>
      <c r="H99" s="139">
        <f t="shared" si="71"/>
        <v>1590.57</v>
      </c>
      <c r="I99" s="139">
        <f t="shared" si="71"/>
        <v>1523.86</v>
      </c>
      <c r="J99" s="139">
        <f t="shared" si="71"/>
        <v>2356.9499999999998</v>
      </c>
      <c r="K99" s="139">
        <f t="shared" si="71"/>
        <v>2399.9250000000002</v>
      </c>
      <c r="L99" s="139">
        <f t="shared" si="71"/>
        <v>9484.3410000000003</v>
      </c>
      <c r="M99" s="136">
        <f>F99-L99</f>
        <v>-239.20400000000154</v>
      </c>
      <c r="N99" s="137">
        <f>F99/L99*100</f>
        <v>97.477905950450307</v>
      </c>
      <c r="O99" s="139">
        <f>O90+O65</f>
        <v>21978.021000000001</v>
      </c>
      <c r="P99" s="136">
        <f>F99-O99</f>
        <v>-12732.884000000002</v>
      </c>
      <c r="Q99" s="137">
        <f>F99/O99*100</f>
        <v>42.065375221909193</v>
      </c>
      <c r="R99" s="137">
        <f t="shared" si="64"/>
        <v>43.402076133014475</v>
      </c>
      <c r="S99" s="142">
        <f>S90+S65</f>
        <v>14440.894</v>
      </c>
      <c r="T99" s="136">
        <f>F99-S99</f>
        <v>-5195.7570000000014</v>
      </c>
      <c r="U99" s="137">
        <f>F99/S99*100</f>
        <v>64.020530861870455</v>
      </c>
      <c r="V99" s="226"/>
    </row>
    <row r="100" spans="1:24" s="8" customFormat="1" ht="23.25" x14ac:dyDescent="0.25">
      <c r="A100" s="28"/>
      <c r="B100" s="46"/>
      <c r="C100" s="17"/>
      <c r="D100" s="139"/>
      <c r="E100" s="139"/>
      <c r="F100" s="142"/>
      <c r="G100" s="139"/>
      <c r="H100" s="139"/>
      <c r="I100" s="139"/>
      <c r="J100" s="139"/>
      <c r="K100" s="139"/>
      <c r="L100" s="139"/>
      <c r="M100" s="136"/>
      <c r="N100" s="137"/>
      <c r="O100" s="139"/>
      <c r="P100" s="136"/>
      <c r="Q100" s="137"/>
      <c r="R100" s="137"/>
      <c r="S100" s="142"/>
      <c r="T100" s="136"/>
      <c r="U100" s="137"/>
      <c r="V100" s="226"/>
    </row>
    <row r="101" spans="1:24" s="174" customFormat="1" ht="48.75" customHeight="1" x14ac:dyDescent="0.3">
      <c r="A101" s="183"/>
      <c r="B101" s="168" t="s">
        <v>160</v>
      </c>
      <c r="C101" s="175"/>
      <c r="D101" s="170">
        <f>D94+D96</f>
        <v>5493661.4369999999</v>
      </c>
      <c r="E101" s="170">
        <f>E94+E96</f>
        <v>5404766.9369999999</v>
      </c>
      <c r="F101" s="170">
        <f t="shared" si="45"/>
        <v>2124440.2190000005</v>
      </c>
      <c r="G101" s="170">
        <f t="shared" ref="G101:L101" si="72">G94+G96</f>
        <v>388043.02200000011</v>
      </c>
      <c r="H101" s="170">
        <f t="shared" si="72"/>
        <v>469695.80700000003</v>
      </c>
      <c r="I101" s="170">
        <f t="shared" si="72"/>
        <v>381084.42200000002</v>
      </c>
      <c r="J101" s="170">
        <f t="shared" si="72"/>
        <v>401135.33299999998</v>
      </c>
      <c r="K101" s="170">
        <f t="shared" si="72"/>
        <v>484481.63500000001</v>
      </c>
      <c r="L101" s="170">
        <f t="shared" si="72"/>
        <v>2102038.3020000001</v>
      </c>
      <c r="M101" s="171">
        <f>F101-L101</f>
        <v>22401.917000000365</v>
      </c>
      <c r="N101" s="172">
        <f>F101/L101*100</f>
        <v>101.06572353979877</v>
      </c>
      <c r="O101" s="170">
        <f>O92+O67</f>
        <v>2830175.7780833328</v>
      </c>
      <c r="P101" s="171">
        <f>F101-O101</f>
        <v>-705735.55908333231</v>
      </c>
      <c r="Q101" s="172">
        <f>F101/O101*100</f>
        <v>75.063896576725199</v>
      </c>
      <c r="R101" s="172">
        <f t="shared" si="64"/>
        <v>39.306786837680072</v>
      </c>
      <c r="S101" s="170">
        <f>S94+S96</f>
        <v>1801371.5310000002</v>
      </c>
      <c r="T101" s="171">
        <f>F101-S101</f>
        <v>323068.68800000031</v>
      </c>
      <c r="U101" s="172">
        <f>F101/S101*100</f>
        <v>117.93459497056969</v>
      </c>
      <c r="V101" s="226"/>
      <c r="W101" s="170">
        <v>1801371.531</v>
      </c>
      <c r="X101" s="170">
        <f>W101-S101</f>
        <v>0</v>
      </c>
    </row>
    <row r="102" spans="1:24" s="15" customFormat="1" ht="3.75" customHeight="1" x14ac:dyDescent="0.3">
      <c r="A102" s="37"/>
      <c r="B102" s="38"/>
      <c r="C102" s="39"/>
      <c r="D102" s="39"/>
      <c r="E102" s="40"/>
      <c r="F102" s="110"/>
      <c r="G102" s="40"/>
      <c r="H102" s="40"/>
      <c r="I102" s="40"/>
      <c r="J102" s="40"/>
      <c r="K102" s="40"/>
      <c r="L102" s="40"/>
      <c r="M102" s="101"/>
      <c r="N102" s="102"/>
      <c r="O102" s="40"/>
      <c r="P102" s="101"/>
      <c r="Q102" s="102"/>
      <c r="R102" s="102"/>
      <c r="S102" s="110"/>
      <c r="T102" s="101"/>
      <c r="U102" s="102"/>
      <c r="V102" s="102"/>
    </row>
    <row r="103" spans="1:24" s="15" customFormat="1" ht="74.25" customHeight="1" x14ac:dyDescent="0.4">
      <c r="A103" s="37"/>
      <c r="B103" s="22" t="s">
        <v>99</v>
      </c>
      <c r="C103" s="22"/>
      <c r="D103" s="22"/>
      <c r="E103" s="22"/>
      <c r="F103" s="22" t="s">
        <v>100</v>
      </c>
      <c r="G103" s="22"/>
      <c r="H103" s="22"/>
      <c r="I103" s="22"/>
      <c r="J103" s="22"/>
      <c r="K103" s="22"/>
      <c r="L103" s="40"/>
      <c r="M103" s="101"/>
      <c r="N103" s="102"/>
      <c r="O103" s="40"/>
      <c r="P103" s="101"/>
      <c r="Q103" s="102"/>
      <c r="R103" s="102"/>
      <c r="S103" s="22"/>
      <c r="T103" s="101"/>
      <c r="U103" s="102"/>
      <c r="V103" s="102"/>
    </row>
    <row r="104" spans="1:24" s="8" customFormat="1" ht="18" customHeight="1" x14ac:dyDescent="0.45">
      <c r="A104" s="6"/>
      <c r="B104" s="31" t="s">
        <v>54</v>
      </c>
      <c r="C104" s="19"/>
      <c r="D104" s="19"/>
      <c r="E104" s="19"/>
      <c r="F104" s="21"/>
      <c r="G104" s="21"/>
      <c r="H104" s="21"/>
      <c r="I104" s="21"/>
      <c r="J104" s="21"/>
      <c r="K104" s="21"/>
      <c r="L104" s="7"/>
      <c r="M104" s="103"/>
      <c r="N104" s="104"/>
      <c r="O104" s="7"/>
      <c r="P104" s="103"/>
      <c r="Q104" s="104"/>
      <c r="R104" s="104"/>
      <c r="S104" s="21"/>
      <c r="T104" s="103"/>
      <c r="U104" s="104"/>
      <c r="V104" s="104"/>
    </row>
    <row r="105" spans="1:24" s="8" customFormat="1" ht="30.75" hidden="1" x14ac:dyDescent="0.45">
      <c r="A105" s="6"/>
      <c r="B105" s="19"/>
      <c r="C105" s="19"/>
      <c r="D105" s="19"/>
      <c r="E105" s="152"/>
      <c r="F105" s="63"/>
      <c r="G105" s="21"/>
      <c r="H105" s="21"/>
      <c r="I105" s="21"/>
      <c r="J105" s="21"/>
      <c r="K105" s="21"/>
      <c r="L105" s="7"/>
      <c r="M105" s="103"/>
      <c r="N105" s="104"/>
      <c r="O105" s="7"/>
      <c r="P105" s="103"/>
      <c r="Q105" s="104"/>
      <c r="R105" s="104"/>
      <c r="S105" s="63"/>
      <c r="T105" s="103"/>
      <c r="U105" s="104"/>
      <c r="V105" s="104"/>
    </row>
    <row r="106" spans="1:24" s="4" customFormat="1" ht="30.75" hidden="1" x14ac:dyDescent="0.45">
      <c r="A106" s="29"/>
      <c r="B106" s="19"/>
      <c r="C106" s="19"/>
      <c r="D106" s="122">
        <v>5493661.4369999999</v>
      </c>
      <c r="E106" s="122">
        <v>5404766.9369999999</v>
      </c>
      <c r="F106" s="69">
        <v>2124440.219</v>
      </c>
      <c r="G106" s="122">
        <v>388043.022</v>
      </c>
      <c r="H106" s="122">
        <v>469695.80800000002</v>
      </c>
      <c r="I106" s="122">
        <v>381084.42200000002</v>
      </c>
      <c r="J106" s="122">
        <v>401135.33299999998</v>
      </c>
      <c r="K106" s="122">
        <v>484481.63500000001</v>
      </c>
      <c r="L106" s="122">
        <v>2102038.3020000001</v>
      </c>
      <c r="M106" s="5"/>
      <c r="N106" s="5"/>
      <c r="O106" s="22"/>
      <c r="P106" s="5"/>
      <c r="Q106" s="5"/>
      <c r="R106" s="5"/>
      <c r="S106" s="69"/>
      <c r="T106" s="5"/>
    </row>
    <row r="107" spans="1:24" ht="12" hidden="1" customHeight="1" x14ac:dyDescent="0.45">
      <c r="B107" s="31"/>
      <c r="C107" s="21"/>
      <c r="D107" s="21"/>
      <c r="E107" s="21"/>
      <c r="F107" s="63"/>
      <c r="G107" s="21"/>
      <c r="H107" s="21"/>
      <c r="I107" s="21"/>
      <c r="J107" s="21"/>
      <c r="K107" s="21"/>
      <c r="S107" s="63"/>
    </row>
    <row r="108" spans="1:24" s="2" customFormat="1" ht="30.75" hidden="1" customHeight="1" x14ac:dyDescent="0.45">
      <c r="A108" s="30"/>
      <c r="B108" s="19"/>
      <c r="C108" s="19"/>
      <c r="D108" s="19"/>
      <c r="E108" s="19"/>
      <c r="F108" s="63"/>
      <c r="G108" s="21"/>
      <c r="H108" s="21"/>
      <c r="I108" s="21"/>
      <c r="J108" s="21"/>
      <c r="K108" s="21"/>
      <c r="M108" s="216"/>
      <c r="N108" s="216"/>
      <c r="O108" s="216"/>
      <c r="P108" s="216"/>
      <c r="Q108" s="216"/>
      <c r="R108" s="216"/>
      <c r="S108" s="63"/>
      <c r="T108" s="216"/>
    </row>
    <row r="109" spans="1:24" s="2" customFormat="1" ht="30.75" hidden="1" customHeight="1" x14ac:dyDescent="0.45">
      <c r="A109" s="30"/>
      <c r="B109" s="19"/>
      <c r="C109" s="19"/>
      <c r="D109" s="19"/>
      <c r="E109" s="19"/>
      <c r="F109" s="63"/>
      <c r="G109" s="21"/>
      <c r="H109" s="21"/>
      <c r="I109" s="21"/>
      <c r="J109" s="21"/>
      <c r="K109" s="21"/>
      <c r="M109" s="216"/>
      <c r="N109" s="216"/>
      <c r="O109" s="216"/>
      <c r="P109" s="216"/>
      <c r="Q109" s="216"/>
      <c r="R109" s="216"/>
      <c r="S109" s="63"/>
      <c r="T109" s="216"/>
    </row>
    <row r="110" spans="1:24" s="2" customFormat="1" ht="16.5" hidden="1" customHeight="1" x14ac:dyDescent="0.45">
      <c r="A110" s="30"/>
      <c r="B110" s="31"/>
      <c r="C110" s="21"/>
      <c r="D110" s="21"/>
      <c r="E110" s="21"/>
      <c r="F110" s="63"/>
      <c r="G110" s="21"/>
      <c r="H110" s="21"/>
      <c r="I110" s="21"/>
      <c r="J110" s="21"/>
      <c r="K110" s="21"/>
      <c r="M110" s="216"/>
      <c r="N110" s="216"/>
      <c r="O110" s="216"/>
      <c r="P110" s="216"/>
      <c r="Q110" s="216"/>
      <c r="R110" s="216"/>
      <c r="S110" s="63"/>
      <c r="T110" s="216"/>
    </row>
    <row r="111" spans="1:24" ht="18.75" hidden="1" x14ac:dyDescent="0.3">
      <c r="B111" s="29"/>
      <c r="D111" s="122">
        <f t="shared" ref="D111:L111" si="73">D106-D101</f>
        <v>0</v>
      </c>
      <c r="E111" s="122">
        <f t="shared" si="73"/>
        <v>0</v>
      </c>
      <c r="F111" s="69">
        <f t="shared" si="73"/>
        <v>0</v>
      </c>
      <c r="G111" s="122">
        <f t="shared" si="73"/>
        <v>0</v>
      </c>
      <c r="H111" s="122">
        <f t="shared" si="73"/>
        <v>9.9999998928979039E-4</v>
      </c>
      <c r="I111" s="122">
        <f t="shared" si="73"/>
        <v>0</v>
      </c>
      <c r="J111" s="122">
        <f t="shared" si="73"/>
        <v>0</v>
      </c>
      <c r="K111" s="122">
        <f t="shared" si="73"/>
        <v>0</v>
      </c>
      <c r="L111" s="122">
        <f t="shared" si="73"/>
        <v>0</v>
      </c>
      <c r="M111" s="234" t="s">
        <v>51</v>
      </c>
      <c r="N111" s="234"/>
      <c r="O111" s="106">
        <f>D46/12*5</f>
        <v>1828941.6604166664</v>
      </c>
      <c r="S111" s="69"/>
    </row>
    <row r="112" spans="1:24" ht="18.75" hidden="1" x14ac:dyDescent="0.3">
      <c r="B112" s="29"/>
      <c r="L112" s="124"/>
      <c r="M112" s="216"/>
      <c r="N112" s="216"/>
      <c r="O112" s="106">
        <f>O111-O46</f>
        <v>0</v>
      </c>
    </row>
    <row r="113" spans="2:47" ht="18.75" hidden="1" x14ac:dyDescent="0.3">
      <c r="B113" s="4"/>
      <c r="C113" s="3"/>
      <c r="D113" s="3"/>
      <c r="E113" s="123"/>
      <c r="F113" s="156"/>
      <c r="M113" s="234" t="s">
        <v>52</v>
      </c>
      <c r="N113" s="234"/>
      <c r="O113" s="105">
        <f>D84/12*5</f>
        <v>71655.796666666676</v>
      </c>
      <c r="S113" s="156"/>
    </row>
    <row r="114" spans="2:47" ht="18.75" hidden="1" x14ac:dyDescent="0.3">
      <c r="B114" s="4"/>
      <c r="C114" s="3"/>
      <c r="D114" s="3"/>
      <c r="E114" s="3"/>
      <c r="M114" s="216"/>
      <c r="N114" s="216"/>
      <c r="O114" s="106">
        <f>O113-O84</f>
        <v>0</v>
      </c>
    </row>
    <row r="115" spans="2:47" ht="22.5" hidden="1" x14ac:dyDescent="0.3">
      <c r="B115" s="4"/>
      <c r="C115" s="3"/>
      <c r="D115" s="3"/>
      <c r="E115" s="153"/>
      <c r="F115" s="154"/>
      <c r="M115" s="234" t="s">
        <v>53</v>
      </c>
      <c r="N115" s="234"/>
      <c r="O115" s="106">
        <f>O113+O88</f>
        <v>94571.996666666673</v>
      </c>
      <c r="S115" s="154"/>
    </row>
    <row r="116" spans="2:47" ht="18.75" x14ac:dyDescent="0.3">
      <c r="B116" s="4"/>
      <c r="C116" s="3"/>
      <c r="D116" s="3"/>
      <c r="E116" s="3"/>
      <c r="M116" s="216"/>
      <c r="N116" s="216"/>
      <c r="O116" s="106">
        <f>O115-O92</f>
        <v>0</v>
      </c>
    </row>
    <row r="117" spans="2:47" ht="18.75" x14ac:dyDescent="0.3">
      <c r="B117" s="4"/>
      <c r="C117" s="3"/>
      <c r="D117" s="3"/>
      <c r="E117" s="3"/>
    </row>
    <row r="118" spans="2:47" ht="18.75" x14ac:dyDescent="0.3">
      <c r="B118" s="155"/>
      <c r="C118" s="3"/>
      <c r="D118" s="3"/>
      <c r="E118" s="3"/>
    </row>
    <row r="119" spans="2:47" ht="18.75" x14ac:dyDescent="0.3">
      <c r="B119" s="4"/>
      <c r="C119" s="3"/>
      <c r="D119" s="3"/>
      <c r="E119" s="3"/>
    </row>
    <row r="120" spans="2:47" s="20" customFormat="1" ht="18.75" x14ac:dyDescent="0.3">
      <c r="B120" s="4"/>
      <c r="C120" s="3"/>
      <c r="D120" s="3"/>
      <c r="E120" s="3"/>
      <c r="F120" s="33"/>
      <c r="G120" s="3"/>
      <c r="H120" s="3"/>
      <c r="I120" s="3"/>
      <c r="J120" s="3"/>
      <c r="K120" s="3"/>
      <c r="L120" s="3"/>
      <c r="M120" s="1"/>
      <c r="N120" s="1"/>
      <c r="O120" s="1"/>
      <c r="P120" s="1"/>
      <c r="Q120" s="1"/>
      <c r="R120" s="1"/>
      <c r="S120" s="33"/>
      <c r="T120" s="1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2:47" s="20" customFormat="1" ht="18.75" x14ac:dyDescent="0.3">
      <c r="B121" s="4"/>
      <c r="C121" s="3"/>
      <c r="D121" s="3"/>
      <c r="E121" s="123"/>
      <c r="F121" s="156"/>
      <c r="G121" s="3"/>
      <c r="H121" s="3"/>
      <c r="I121" s="3"/>
      <c r="J121" s="3"/>
      <c r="K121" s="3"/>
      <c r="L121" s="3"/>
      <c r="M121" s="1"/>
      <c r="N121" s="1"/>
      <c r="O121" s="1"/>
      <c r="P121" s="1"/>
      <c r="Q121" s="1"/>
      <c r="R121" s="1"/>
      <c r="S121" s="156"/>
      <c r="T121" s="1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2:47" s="20" customFormat="1" ht="18.75" x14ac:dyDescent="0.3">
      <c r="B122" s="4"/>
      <c r="C122" s="3"/>
      <c r="D122" s="220"/>
      <c r="E122" s="3"/>
      <c r="F122" s="33"/>
      <c r="G122" s="3"/>
      <c r="H122" s="3"/>
      <c r="I122" s="3"/>
      <c r="J122" s="3"/>
      <c r="K122" s="3"/>
      <c r="L122" s="3"/>
      <c r="M122" s="1"/>
      <c r="N122" s="1"/>
      <c r="O122" s="1"/>
      <c r="P122" s="1"/>
      <c r="Q122" s="1"/>
      <c r="R122" s="1"/>
      <c r="S122" s="33"/>
      <c r="T122" s="1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2:47" s="20" customFormat="1" ht="18.75" x14ac:dyDescent="0.3">
      <c r="B123" s="4"/>
      <c r="C123" s="3"/>
      <c r="D123" s="3"/>
      <c r="E123" s="3"/>
      <c r="F123" s="33"/>
      <c r="G123" s="3"/>
      <c r="H123" s="3"/>
      <c r="I123" s="3"/>
      <c r="J123" s="3"/>
      <c r="K123" s="3"/>
      <c r="L123" s="3"/>
      <c r="M123" s="1"/>
      <c r="N123" s="1"/>
      <c r="O123" s="1"/>
      <c r="P123" s="1"/>
      <c r="Q123" s="1"/>
      <c r="R123" s="1"/>
      <c r="S123" s="33"/>
      <c r="T123" s="1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2:47" s="20" customFormat="1" ht="22.5" x14ac:dyDescent="0.3">
      <c r="B124" s="4"/>
      <c r="C124" s="3"/>
      <c r="D124" s="153"/>
      <c r="E124" s="3"/>
      <c r="F124" s="33"/>
      <c r="G124" s="3"/>
      <c r="H124" s="3"/>
      <c r="I124" s="3"/>
      <c r="J124" s="3"/>
      <c r="K124" s="3"/>
      <c r="L124" s="3"/>
      <c r="M124" s="1"/>
      <c r="N124" s="1"/>
      <c r="O124" s="1"/>
      <c r="P124" s="1"/>
      <c r="Q124" s="1"/>
      <c r="R124" s="1"/>
      <c r="S124" s="33"/>
      <c r="T124" s="1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2:47" s="20" customFormat="1" ht="18.75" x14ac:dyDescent="0.3">
      <c r="B125" s="4"/>
      <c r="C125" s="3"/>
      <c r="D125" s="3"/>
      <c r="E125" s="3"/>
      <c r="F125" s="156"/>
      <c r="G125" s="3"/>
      <c r="H125" s="3"/>
      <c r="I125" s="3"/>
      <c r="J125" s="3"/>
      <c r="K125" s="3"/>
      <c r="L125" s="3"/>
      <c r="M125" s="1"/>
      <c r="N125" s="1"/>
      <c r="O125" s="1"/>
      <c r="P125" s="1"/>
      <c r="Q125" s="1"/>
      <c r="R125" s="1"/>
      <c r="S125" s="156"/>
      <c r="T125" s="1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2:47" s="20" customFormat="1" ht="18.75" x14ac:dyDescent="0.3">
      <c r="B126" s="4"/>
      <c r="C126" s="3"/>
      <c r="D126" s="3"/>
      <c r="E126" s="3"/>
      <c r="F126" s="33"/>
      <c r="G126" s="3"/>
      <c r="H126" s="3"/>
      <c r="I126" s="3"/>
      <c r="J126" s="3"/>
      <c r="K126" s="3"/>
      <c r="L126" s="3"/>
      <c r="M126" s="1"/>
      <c r="N126" s="1"/>
      <c r="O126" s="1"/>
      <c r="P126" s="1"/>
      <c r="Q126" s="1"/>
      <c r="R126" s="1"/>
      <c r="S126" s="33"/>
      <c r="T126" s="1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2:47" s="20" customFormat="1" ht="18.75" x14ac:dyDescent="0.3">
      <c r="B127" s="4"/>
      <c r="C127" s="3"/>
      <c r="D127" s="3"/>
      <c r="E127" s="3"/>
      <c r="F127" s="33"/>
      <c r="G127" s="3"/>
      <c r="H127" s="3"/>
      <c r="I127" s="3"/>
      <c r="J127" s="3"/>
      <c r="K127" s="3"/>
      <c r="L127" s="3"/>
      <c r="M127" s="1"/>
      <c r="N127" s="1"/>
      <c r="O127" s="1"/>
      <c r="P127" s="1"/>
      <c r="Q127" s="1"/>
      <c r="R127" s="1"/>
      <c r="S127" s="33"/>
      <c r="T127" s="1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2:47" s="20" customFormat="1" ht="18.75" x14ac:dyDescent="0.3">
      <c r="B128" s="29"/>
      <c r="F128" s="33"/>
      <c r="G128" s="3"/>
      <c r="H128" s="3"/>
      <c r="I128" s="3"/>
      <c r="J128" s="3"/>
      <c r="K128" s="3"/>
      <c r="L128" s="3"/>
      <c r="M128" s="1"/>
      <c r="N128" s="1"/>
      <c r="O128" s="1"/>
      <c r="P128" s="1"/>
      <c r="Q128" s="1"/>
      <c r="R128" s="1"/>
      <c r="S128" s="33"/>
      <c r="T128" s="1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2:47" s="20" customFormat="1" ht="18.75" x14ac:dyDescent="0.3">
      <c r="B129" s="29"/>
      <c r="F129" s="33"/>
      <c r="G129" s="3"/>
      <c r="H129" s="3"/>
      <c r="I129" s="3"/>
      <c r="J129" s="3"/>
      <c r="K129" s="3"/>
      <c r="L129" s="3"/>
      <c r="M129" s="1"/>
      <c r="N129" s="1"/>
      <c r="O129" s="1"/>
      <c r="P129" s="1"/>
      <c r="Q129" s="1"/>
      <c r="R129" s="1"/>
      <c r="S129" s="33"/>
      <c r="T129" s="1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</sheetData>
  <mergeCells count="34">
    <mergeCell ref="M111:N111"/>
    <mergeCell ref="M113:N113"/>
    <mergeCell ref="M115:N115"/>
    <mergeCell ref="A6:U6"/>
    <mergeCell ref="C20:C22"/>
    <mergeCell ref="A1:U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J3:J4"/>
    <mergeCell ref="K3:K4"/>
    <mergeCell ref="L3:L4"/>
    <mergeCell ref="M3:M4"/>
    <mergeCell ref="N3:N4"/>
    <mergeCell ref="V3:V4"/>
    <mergeCell ref="V47:V67"/>
    <mergeCell ref="V71:V72"/>
    <mergeCell ref="V85:V92"/>
    <mergeCell ref="V95:V101"/>
    <mergeCell ref="A68:V68"/>
    <mergeCell ref="A93:V93"/>
    <mergeCell ref="O3:O4"/>
    <mergeCell ref="P3:P4"/>
    <mergeCell ref="Q3:Q4"/>
    <mergeCell ref="R3:R4"/>
    <mergeCell ref="S3:S4"/>
    <mergeCell ref="T3:T4"/>
  </mergeCells>
  <printOptions horizontalCentered="1"/>
  <pageMargins left="0.39370078740157483" right="0" top="0" bottom="0" header="0.23622047244094491" footer="0.11811023622047245"/>
  <pageSetup paperSize="8" scale="64" fitToHeight="6" orientation="landscape" horizontalDpi="300" verticalDpi="300" r:id="rId1"/>
  <headerFooter alignWithMargins="0"/>
  <rowBreaks count="1" manualBreakCount="1">
    <brk id="67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8"/>
  <sheetViews>
    <sheetView showGridLines="0" view="pageBreakPreview" zoomScale="60" zoomScaleNormal="75" workbookViewId="0">
      <pane xSplit="3" ySplit="6" topLeftCell="D43" activePane="bottomRight" state="frozen"/>
      <selection activeCell="P126" sqref="P126"/>
      <selection pane="topRight" activeCell="P126" sqref="P126"/>
      <selection pane="bottomLeft" activeCell="P126" sqref="P126"/>
      <selection pane="bottomRight" activeCell="P126" sqref="P126"/>
    </sheetView>
  </sheetViews>
  <sheetFormatPr defaultRowHeight="12.75" x14ac:dyDescent="0.2"/>
  <cols>
    <col min="1" max="1" width="12.28515625" style="20" customWidth="1"/>
    <col min="2" max="2" width="132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8" width="21.28515625" style="3" hidden="1" customWidth="1"/>
    <col min="9" max="9" width="22.140625" style="3" customWidth="1"/>
    <col min="10" max="10" width="22.5703125" style="1" customWidth="1"/>
    <col min="11" max="11" width="14.140625" style="1" bestFit="1" customWidth="1"/>
    <col min="12" max="12" width="23.85546875" style="1" customWidth="1"/>
    <col min="13" max="13" width="22.42578125" style="1" customWidth="1"/>
    <col min="14" max="14" width="14.7109375" style="1" bestFit="1" customWidth="1"/>
    <col min="15" max="15" width="16.140625" style="1" customWidth="1"/>
    <col min="16" max="16" width="23.140625" style="33" customWidth="1"/>
    <col min="17" max="17" width="21.85546875" style="1" customWidth="1"/>
    <col min="18" max="18" width="14.7109375" style="3" bestFit="1" customWidth="1"/>
    <col min="19" max="19" width="22" style="3" bestFit="1" customWidth="1"/>
    <col min="20" max="20" width="19.140625" style="3" bestFit="1" customWidth="1"/>
    <col min="21" max="21" width="15.85546875" style="3" bestFit="1" customWidth="1"/>
    <col min="22" max="22" width="9.140625" style="3"/>
    <col min="23" max="23" width="24.140625" style="3" bestFit="1" customWidth="1"/>
    <col min="24" max="24" width="9.140625" style="3"/>
    <col min="25" max="25" width="15.140625" style="3" bestFit="1" customWidth="1"/>
    <col min="26" max="16384" width="9.140625" style="3"/>
  </cols>
  <sheetData>
    <row r="1" spans="1:33" ht="30" customHeight="1" x14ac:dyDescent="0.2">
      <c r="A1" s="203" t="s">
        <v>186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</row>
    <row r="2" spans="1:33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P2" s="107"/>
      <c r="Q2" s="5" t="s">
        <v>14</v>
      </c>
      <c r="R2" s="5"/>
    </row>
    <row r="3" spans="1:33" s="73" customFormat="1" ht="15" customHeight="1" x14ac:dyDescent="0.25">
      <c r="A3" s="232" t="s">
        <v>0</v>
      </c>
      <c r="B3" s="233" t="s">
        <v>1</v>
      </c>
      <c r="C3" s="233" t="s">
        <v>2</v>
      </c>
      <c r="D3" s="229" t="s">
        <v>167</v>
      </c>
      <c r="E3" s="229" t="s">
        <v>146</v>
      </c>
      <c r="F3" s="230" t="s">
        <v>168</v>
      </c>
      <c r="G3" s="244" t="s">
        <v>65</v>
      </c>
      <c r="H3" s="201"/>
      <c r="I3" s="229" t="s">
        <v>169</v>
      </c>
      <c r="J3" s="229" t="s">
        <v>170</v>
      </c>
      <c r="K3" s="229" t="s">
        <v>3</v>
      </c>
      <c r="L3" s="229" t="s">
        <v>179</v>
      </c>
      <c r="M3" s="229" t="s">
        <v>171</v>
      </c>
      <c r="N3" s="229" t="s">
        <v>3</v>
      </c>
      <c r="O3" s="222" t="s">
        <v>172</v>
      </c>
      <c r="P3" s="230" t="s">
        <v>145</v>
      </c>
      <c r="Q3" s="229" t="s">
        <v>166</v>
      </c>
      <c r="R3" s="229" t="s">
        <v>3</v>
      </c>
    </row>
    <row r="4" spans="1:33" s="73" customFormat="1" ht="79.5" customHeight="1" x14ac:dyDescent="0.25">
      <c r="A4" s="232"/>
      <c r="B4" s="233"/>
      <c r="C4" s="233"/>
      <c r="D4" s="229"/>
      <c r="E4" s="229"/>
      <c r="F4" s="230"/>
      <c r="G4" s="245"/>
      <c r="H4" s="202"/>
      <c r="I4" s="229"/>
      <c r="J4" s="229"/>
      <c r="K4" s="229"/>
      <c r="L4" s="229"/>
      <c r="M4" s="229"/>
      <c r="N4" s="229"/>
      <c r="O4" s="222"/>
      <c r="P4" s="230"/>
      <c r="Q4" s="229"/>
      <c r="R4" s="229"/>
    </row>
    <row r="5" spans="1:33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R5" si="0">D5+1</f>
        <v>5</v>
      </c>
      <c r="F5" s="76">
        <v>5</v>
      </c>
      <c r="G5" s="75">
        <f t="shared" si="0"/>
        <v>6</v>
      </c>
      <c r="H5" s="75"/>
      <c r="I5" s="75">
        <v>6</v>
      </c>
      <c r="J5" s="75">
        <f t="shared" si="0"/>
        <v>7</v>
      </c>
      <c r="K5" s="75">
        <f t="shared" si="0"/>
        <v>8</v>
      </c>
      <c r="L5" s="75">
        <f t="shared" si="0"/>
        <v>9</v>
      </c>
      <c r="M5" s="75">
        <f t="shared" si="0"/>
        <v>10</v>
      </c>
      <c r="N5" s="75">
        <f t="shared" si="0"/>
        <v>11</v>
      </c>
      <c r="O5" s="75">
        <f t="shared" si="0"/>
        <v>12</v>
      </c>
      <c r="P5" s="76">
        <f t="shared" si="0"/>
        <v>13</v>
      </c>
      <c r="Q5" s="75">
        <f t="shared" si="0"/>
        <v>14</v>
      </c>
      <c r="R5" s="75">
        <f t="shared" si="0"/>
        <v>15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s="79" customFormat="1" ht="26.25" customHeight="1" x14ac:dyDescent="0.2">
      <c r="A6" s="204" t="s">
        <v>6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6"/>
    </row>
    <row r="7" spans="1:33" s="84" customFormat="1" ht="27.75" customHeight="1" x14ac:dyDescent="0.25">
      <c r="A7" s="80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 t="shared" ref="F7:F41" si="1">SUM(G7:G7)</f>
        <v>178227.345</v>
      </c>
      <c r="G7" s="128">
        <v>178227.345</v>
      </c>
      <c r="H7" s="128"/>
      <c r="I7" s="130">
        <v>161440.51500000001</v>
      </c>
      <c r="J7" s="131">
        <f t="shared" ref="J7:J57" si="2">F7-I7</f>
        <v>16786.829999999987</v>
      </c>
      <c r="K7" s="132">
        <f>F7/I7*100</f>
        <v>110.398151913725</v>
      </c>
      <c r="L7" s="131">
        <f>D7/12*1</f>
        <v>238282.78833333333</v>
      </c>
      <c r="M7" s="131">
        <f t="shared" ref="M7:M57" si="3">F7-L7</f>
        <v>-60055.443333333329</v>
      </c>
      <c r="N7" s="132">
        <f t="shared" ref="N7:N39" si="4">F7/L7*100</f>
        <v>74.796566821552432</v>
      </c>
      <c r="O7" s="132">
        <f>F7/D7*100</f>
        <v>6.2330472351293693</v>
      </c>
      <c r="P7" s="129">
        <v>146999.421</v>
      </c>
      <c r="Q7" s="131">
        <f t="shared" ref="Q7:Q57" si="5">F7-P7</f>
        <v>31227.923999999999</v>
      </c>
      <c r="R7" s="132">
        <f>F7/P7*100</f>
        <v>121.24356938793656</v>
      </c>
      <c r="S7" s="82"/>
      <c r="T7" s="82"/>
      <c r="U7" s="82">
        <f>S7-T7</f>
        <v>0</v>
      </c>
      <c r="V7" s="83" t="e">
        <f>S7/T7*100</f>
        <v>#DIV/0!</v>
      </c>
    </row>
    <row r="8" spans="1:33" s="84" customFormat="1" ht="27.75" customHeight="1" x14ac:dyDescent="0.25">
      <c r="A8" s="80"/>
      <c r="B8" s="89" t="s">
        <v>182</v>
      </c>
      <c r="C8" s="81" t="s">
        <v>15</v>
      </c>
      <c r="D8" s="128">
        <v>2859393.46</v>
      </c>
      <c r="E8" s="128"/>
      <c r="F8" s="129">
        <v>178227.345</v>
      </c>
      <c r="G8" s="128"/>
      <c r="H8" s="128"/>
      <c r="I8" s="130">
        <v>161440.51500000001</v>
      </c>
      <c r="J8" s="131">
        <f t="shared" ref="J8" si="6">F8-I8</f>
        <v>16786.829999999987</v>
      </c>
      <c r="K8" s="132">
        <f>F8/I8*100</f>
        <v>110.398151913725</v>
      </c>
      <c r="L8" s="131">
        <f>D8/12*1</f>
        <v>238282.78833333333</v>
      </c>
      <c r="M8" s="131">
        <f t="shared" ref="M8" si="7">F8-L8</f>
        <v>-60055.443333333329</v>
      </c>
      <c r="N8" s="132">
        <f t="shared" ref="N8" si="8">F8/L8*100</f>
        <v>74.796566821552432</v>
      </c>
      <c r="O8" s="132">
        <f>F8/D8*100</f>
        <v>6.2330472351293693</v>
      </c>
      <c r="P8" s="129">
        <f>P7/0.6*64%</f>
        <v>156799.3824</v>
      </c>
      <c r="Q8" s="131">
        <f t="shared" ref="Q8" si="9">F8-P8</f>
        <v>21427.962599999999</v>
      </c>
      <c r="R8" s="132">
        <f>F8/P8*100</f>
        <v>113.66584630119054</v>
      </c>
      <c r="S8" s="82"/>
      <c r="T8" s="82"/>
      <c r="U8" s="82"/>
      <c r="V8" s="83"/>
    </row>
    <row r="9" spans="1:33" s="84" customFormat="1" ht="27.75" customHeight="1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si="1"/>
        <v>2.6560000000000001</v>
      </c>
      <c r="G9" s="128">
        <v>2.6560000000000001</v>
      </c>
      <c r="H9" s="128"/>
      <c r="I9" s="130">
        <v>2</v>
      </c>
      <c r="J9" s="131">
        <f t="shared" si="2"/>
        <v>0.65600000000000014</v>
      </c>
      <c r="K9" s="132">
        <f>F9/I9*100</f>
        <v>132.80000000000001</v>
      </c>
      <c r="L9" s="131">
        <f t="shared" ref="L9:L45" si="10">D9/12*1</f>
        <v>84.166666666666671</v>
      </c>
      <c r="M9" s="131">
        <f t="shared" si="3"/>
        <v>-81.510666666666665</v>
      </c>
      <c r="N9" s="132">
        <f t="shared" si="4"/>
        <v>3.1556435643564353</v>
      </c>
      <c r="O9" s="132">
        <f t="shared" ref="O9:O73" si="11">F9/D9*100</f>
        <v>0.26297029702970298</v>
      </c>
      <c r="P9" s="129">
        <v>70</v>
      </c>
      <c r="Q9" s="131">
        <f t="shared" si="5"/>
        <v>-67.343999999999994</v>
      </c>
      <c r="R9" s="132">
        <f>F9/P9*100</f>
        <v>3.7942857142857145</v>
      </c>
      <c r="S9" s="82"/>
      <c r="T9" s="82"/>
      <c r="U9" s="82">
        <f>P7/0.5</f>
        <v>293998.842</v>
      </c>
      <c r="V9" s="83">
        <f>T9/U9*100</f>
        <v>0</v>
      </c>
    </row>
    <row r="10" spans="1:33" s="84" customFormat="1" ht="23.2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>SUM(G10:G10)</f>
        <v>1.3639999999999999</v>
      </c>
      <c r="G10" s="128">
        <f>SUM(G11:G14)</f>
        <v>1.3639999999999999</v>
      </c>
      <c r="H10" s="128"/>
      <c r="I10" s="128">
        <f>SUM(I11:I14)</f>
        <v>1.32</v>
      </c>
      <c r="J10" s="131">
        <f t="shared" si="2"/>
        <v>4.3999999999999817E-2</v>
      </c>
      <c r="K10" s="132">
        <f>F10/I10*100</f>
        <v>103.33333333333331</v>
      </c>
      <c r="L10" s="131">
        <f t="shared" si="10"/>
        <v>40.333333333333336</v>
      </c>
      <c r="M10" s="131">
        <f t="shared" si="3"/>
        <v>-38.969333333333338</v>
      </c>
      <c r="N10" s="132">
        <f t="shared" si="4"/>
        <v>3.3818181818181809</v>
      </c>
      <c r="O10" s="132">
        <f t="shared" si="11"/>
        <v>0.2818181818181818</v>
      </c>
      <c r="P10" s="129">
        <f>SUM(P11:P14)</f>
        <v>0.54200000000000004</v>
      </c>
      <c r="Q10" s="131">
        <f t="shared" si="5"/>
        <v>0.82199999999999984</v>
      </c>
      <c r="R10" s="132">
        <f>F10/P10*100</f>
        <v>251.66051660516601</v>
      </c>
      <c r="S10" s="82"/>
      <c r="T10" s="82"/>
      <c r="U10" s="82"/>
      <c r="V10" s="83"/>
    </row>
    <row r="11" spans="1:33" s="84" customFormat="1" ht="39" x14ac:dyDescent="0.25">
      <c r="A11" s="85" t="s">
        <v>114</v>
      </c>
      <c r="B11" s="195" t="s">
        <v>173</v>
      </c>
      <c r="C11" s="200" t="s">
        <v>174</v>
      </c>
      <c r="D11" s="128">
        <v>23</v>
      </c>
      <c r="E11" s="128"/>
      <c r="F11" s="134">
        <f t="shared" si="1"/>
        <v>0</v>
      </c>
      <c r="G11" s="128">
        <v>0</v>
      </c>
      <c r="H11" s="128"/>
      <c r="I11" s="130">
        <v>0</v>
      </c>
      <c r="J11" s="131">
        <f t="shared" si="2"/>
        <v>0</v>
      </c>
      <c r="K11" s="132"/>
      <c r="L11" s="131">
        <f t="shared" si="10"/>
        <v>1.9166666666666667</v>
      </c>
      <c r="M11" s="131">
        <f t="shared" si="3"/>
        <v>-1.9166666666666667</v>
      </c>
      <c r="N11" s="132"/>
      <c r="O11" s="132">
        <f t="shared" si="11"/>
        <v>0</v>
      </c>
      <c r="P11" s="129">
        <v>0</v>
      </c>
      <c r="Q11" s="131">
        <f t="shared" si="5"/>
        <v>0</v>
      </c>
      <c r="R11" s="132"/>
      <c r="S11" s="82"/>
      <c r="T11" s="82"/>
      <c r="U11" s="82"/>
      <c r="V11" s="83"/>
    </row>
    <row r="12" spans="1:33" s="88" customFormat="1" ht="45.75" customHeight="1" x14ac:dyDescent="0.25">
      <c r="A12" s="85" t="s">
        <v>115</v>
      </c>
      <c r="B12" s="195" t="s">
        <v>107</v>
      </c>
      <c r="C12" s="72" t="s">
        <v>108</v>
      </c>
      <c r="D12" s="133">
        <v>160</v>
      </c>
      <c r="E12" s="133">
        <v>166.79</v>
      </c>
      <c r="F12" s="134">
        <f t="shared" si="1"/>
        <v>0</v>
      </c>
      <c r="G12" s="133">
        <v>0</v>
      </c>
      <c r="H12" s="133"/>
      <c r="I12" s="135">
        <v>0</v>
      </c>
      <c r="J12" s="136">
        <f t="shared" si="2"/>
        <v>0</v>
      </c>
      <c r="K12" s="137"/>
      <c r="L12" s="136">
        <f t="shared" si="10"/>
        <v>13.333333333333334</v>
      </c>
      <c r="M12" s="136">
        <f t="shared" si="3"/>
        <v>-13.333333333333334</v>
      </c>
      <c r="N12" s="137">
        <f t="shared" si="4"/>
        <v>0</v>
      </c>
      <c r="O12" s="137">
        <f t="shared" si="11"/>
        <v>0</v>
      </c>
      <c r="P12" s="134">
        <v>0</v>
      </c>
      <c r="Q12" s="136">
        <f t="shared" si="5"/>
        <v>0</v>
      </c>
      <c r="R12" s="137"/>
    </row>
    <row r="13" spans="1:33" s="88" customFormat="1" ht="39" x14ac:dyDescent="0.25">
      <c r="A13" s="85" t="s">
        <v>116</v>
      </c>
      <c r="B13" s="195" t="s">
        <v>149</v>
      </c>
      <c r="C13" s="72" t="s">
        <v>111</v>
      </c>
      <c r="D13" s="133">
        <v>86</v>
      </c>
      <c r="E13" s="133">
        <v>82.45</v>
      </c>
      <c r="F13" s="134">
        <f t="shared" si="1"/>
        <v>0.96</v>
      </c>
      <c r="G13" s="133">
        <v>0.96</v>
      </c>
      <c r="H13" s="133"/>
      <c r="I13" s="135">
        <v>0.92</v>
      </c>
      <c r="J13" s="136">
        <f t="shared" si="2"/>
        <v>3.9999999999999925E-2</v>
      </c>
      <c r="K13" s="137">
        <f>F13/I13*100</f>
        <v>104.34782608695652</v>
      </c>
      <c r="L13" s="136">
        <f t="shared" si="10"/>
        <v>7.166666666666667</v>
      </c>
      <c r="M13" s="136">
        <f t="shared" si="3"/>
        <v>-6.206666666666667</v>
      </c>
      <c r="N13" s="137">
        <f t="shared" si="4"/>
        <v>13.395348837209301</v>
      </c>
      <c r="O13" s="137">
        <f t="shared" si="11"/>
        <v>1.1162790697674418</v>
      </c>
      <c r="P13" s="134">
        <v>0.54200000000000004</v>
      </c>
      <c r="Q13" s="136">
        <f t="shared" si="5"/>
        <v>0.41799999999999993</v>
      </c>
      <c r="R13" s="137">
        <f>F13/P13*100</f>
        <v>177.12177121771217</v>
      </c>
    </row>
    <row r="14" spans="1:33" s="88" customFormat="1" ht="29.25" customHeight="1" x14ac:dyDescent="0.25">
      <c r="A14" s="85" t="s">
        <v>175</v>
      </c>
      <c r="B14" s="195" t="s">
        <v>148</v>
      </c>
      <c r="C14" s="72" t="s">
        <v>147</v>
      </c>
      <c r="D14" s="133">
        <v>215</v>
      </c>
      <c r="E14" s="133">
        <v>257.64</v>
      </c>
      <c r="F14" s="134">
        <f t="shared" si="1"/>
        <v>0.40400000000000003</v>
      </c>
      <c r="G14" s="133">
        <v>0.40400000000000003</v>
      </c>
      <c r="H14" s="133"/>
      <c r="I14" s="135">
        <v>0.4</v>
      </c>
      <c r="J14" s="136">
        <f t="shared" si="2"/>
        <v>4.0000000000000036E-3</v>
      </c>
      <c r="K14" s="137">
        <f>F14/I14*100</f>
        <v>101</v>
      </c>
      <c r="L14" s="136">
        <f t="shared" si="10"/>
        <v>17.916666666666668</v>
      </c>
      <c r="M14" s="136">
        <f t="shared" si="3"/>
        <v>-17.512666666666668</v>
      </c>
      <c r="N14" s="137">
        <f t="shared" si="4"/>
        <v>2.2548837209302324</v>
      </c>
      <c r="O14" s="137">
        <f t="shared" si="11"/>
        <v>0.18790697674418605</v>
      </c>
      <c r="P14" s="134">
        <v>0</v>
      </c>
      <c r="Q14" s="136">
        <f t="shared" si="5"/>
        <v>0.40400000000000003</v>
      </c>
      <c r="R14" s="137"/>
    </row>
    <row r="15" spans="1:33" s="84" customFormat="1" ht="29.25" customHeight="1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1"/>
        <v>13827.143</v>
      </c>
      <c r="G15" s="128">
        <f t="shared" ref="G15:I15" si="12">SUM(G16:G18)</f>
        <v>13827.143</v>
      </c>
      <c r="H15" s="128"/>
      <c r="I15" s="130">
        <f t="shared" si="12"/>
        <v>10300</v>
      </c>
      <c r="J15" s="131">
        <f t="shared" si="2"/>
        <v>3527.143</v>
      </c>
      <c r="K15" s="132">
        <f>F15/I15*100</f>
        <v>134.24410679611651</v>
      </c>
      <c r="L15" s="131">
        <f t="shared" si="10"/>
        <v>23583.333333333332</v>
      </c>
      <c r="M15" s="131">
        <f t="shared" si="3"/>
        <v>-9756.1903333333321</v>
      </c>
      <c r="N15" s="132">
        <f t="shared" si="4"/>
        <v>58.630995053003531</v>
      </c>
      <c r="O15" s="132">
        <f t="shared" si="11"/>
        <v>4.8859162544169612</v>
      </c>
      <c r="P15" s="129">
        <f t="shared" ref="P15" si="13">SUM(P16:P18)</f>
        <v>9113.7909999999993</v>
      </c>
      <c r="Q15" s="131">
        <f t="shared" si="5"/>
        <v>4713.3520000000008</v>
      </c>
      <c r="R15" s="132">
        <f>F15/P15*100</f>
        <v>151.71670054755481</v>
      </c>
    </row>
    <row r="16" spans="1:33" s="88" customFormat="1" ht="31.5" customHeight="1" x14ac:dyDescent="0.25">
      <c r="A16" s="85" t="s">
        <v>129</v>
      </c>
      <c r="B16" s="195" t="s">
        <v>101</v>
      </c>
      <c r="C16" s="72" t="s">
        <v>93</v>
      </c>
      <c r="D16" s="133">
        <v>32000</v>
      </c>
      <c r="E16" s="133">
        <v>25500</v>
      </c>
      <c r="F16" s="134">
        <f t="shared" si="1"/>
        <v>0</v>
      </c>
      <c r="G16" s="133">
        <v>0</v>
      </c>
      <c r="H16" s="133"/>
      <c r="I16" s="135">
        <v>0</v>
      </c>
      <c r="J16" s="136">
        <f t="shared" si="2"/>
        <v>0</v>
      </c>
      <c r="K16" s="137"/>
      <c r="L16" s="136">
        <f t="shared" si="10"/>
        <v>2666.6666666666665</v>
      </c>
      <c r="M16" s="136">
        <f t="shared" si="3"/>
        <v>-2666.6666666666665</v>
      </c>
      <c r="N16" s="137">
        <f t="shared" si="4"/>
        <v>0</v>
      </c>
      <c r="O16" s="137">
        <f t="shared" si="11"/>
        <v>0</v>
      </c>
      <c r="P16" s="134">
        <v>0</v>
      </c>
      <c r="Q16" s="136">
        <f t="shared" si="5"/>
        <v>0</v>
      </c>
      <c r="R16" s="137"/>
      <c r="S16" s="86">
        <f>P16+P17</f>
        <v>0</v>
      </c>
      <c r="T16" s="86">
        <f>F16+F17</f>
        <v>0</v>
      </c>
    </row>
    <row r="17" spans="1:21" s="88" customFormat="1" ht="39" x14ac:dyDescent="0.25">
      <c r="A17" s="85" t="s">
        <v>130</v>
      </c>
      <c r="B17" s="195" t="s">
        <v>102</v>
      </c>
      <c r="C17" s="72" t="s">
        <v>94</v>
      </c>
      <c r="D17" s="133">
        <v>106000</v>
      </c>
      <c r="E17" s="133">
        <v>87500</v>
      </c>
      <c r="F17" s="134">
        <f t="shared" si="1"/>
        <v>0</v>
      </c>
      <c r="G17" s="133">
        <v>0</v>
      </c>
      <c r="H17" s="133"/>
      <c r="I17" s="135">
        <v>0</v>
      </c>
      <c r="J17" s="136">
        <f t="shared" si="2"/>
        <v>0</v>
      </c>
      <c r="K17" s="137"/>
      <c r="L17" s="136">
        <f t="shared" si="10"/>
        <v>8833.3333333333339</v>
      </c>
      <c r="M17" s="136">
        <f t="shared" si="3"/>
        <v>-8833.3333333333339</v>
      </c>
      <c r="N17" s="137">
        <f t="shared" si="4"/>
        <v>0</v>
      </c>
      <c r="O17" s="137">
        <f t="shared" si="11"/>
        <v>0</v>
      </c>
      <c r="P17" s="134">
        <v>0</v>
      </c>
      <c r="Q17" s="136">
        <f t="shared" si="5"/>
        <v>0</v>
      </c>
      <c r="R17" s="137"/>
    </row>
    <row r="18" spans="1:21" s="88" customFormat="1" ht="23.25" x14ac:dyDescent="0.25">
      <c r="A18" s="85" t="s">
        <v>131</v>
      </c>
      <c r="B18" s="195" t="s">
        <v>103</v>
      </c>
      <c r="C18" s="72" t="s">
        <v>58</v>
      </c>
      <c r="D18" s="133">
        <v>145000</v>
      </c>
      <c r="E18" s="133">
        <v>134766</v>
      </c>
      <c r="F18" s="134">
        <f t="shared" si="1"/>
        <v>13827.143</v>
      </c>
      <c r="G18" s="133">
        <v>13827.143</v>
      </c>
      <c r="H18" s="133"/>
      <c r="I18" s="135">
        <v>10300</v>
      </c>
      <c r="J18" s="136">
        <f t="shared" si="2"/>
        <v>3527.143</v>
      </c>
      <c r="K18" s="137">
        <f t="shared" ref="K18:K26" si="14">F18/I18*100</f>
        <v>134.24410679611651</v>
      </c>
      <c r="L18" s="136">
        <f t="shared" si="10"/>
        <v>12083.333333333334</v>
      </c>
      <c r="M18" s="136">
        <f t="shared" si="3"/>
        <v>1743.8096666666661</v>
      </c>
      <c r="N18" s="137">
        <f t="shared" si="4"/>
        <v>114.43152827586206</v>
      </c>
      <c r="O18" s="137">
        <f t="shared" si="11"/>
        <v>9.5359606896551714</v>
      </c>
      <c r="P18" s="134">
        <v>9113.7909999999993</v>
      </c>
      <c r="Q18" s="136">
        <f t="shared" si="5"/>
        <v>4713.3520000000008</v>
      </c>
      <c r="R18" s="137">
        <f t="shared" ref="R18:R24" si="15">F18/P18*100</f>
        <v>151.71670054755481</v>
      </c>
    </row>
    <row r="19" spans="1:21" s="115" customFormat="1" ht="39" x14ac:dyDescent="0.25">
      <c r="A19" s="80">
        <v>5</v>
      </c>
      <c r="B19" s="89" t="s">
        <v>181</v>
      </c>
      <c r="C19" s="81" t="s">
        <v>40</v>
      </c>
      <c r="D19" s="128">
        <f>D20+D21+D22+D24+D23</f>
        <v>1148486.2349999999</v>
      </c>
      <c r="E19" s="128">
        <f>E20+E21+E22+E24+E23</f>
        <v>1024661.45</v>
      </c>
      <c r="F19" s="129">
        <f t="shared" si="1"/>
        <v>103730.772</v>
      </c>
      <c r="G19" s="128">
        <f t="shared" ref="G19:I19" si="16">G20+G21+G22+G24+G23</f>
        <v>103730.772</v>
      </c>
      <c r="H19" s="128"/>
      <c r="I19" s="130">
        <f t="shared" si="16"/>
        <v>97486</v>
      </c>
      <c r="J19" s="131">
        <f t="shared" si="2"/>
        <v>6244.7719999999972</v>
      </c>
      <c r="K19" s="132">
        <f t="shared" si="14"/>
        <v>106.40581416818824</v>
      </c>
      <c r="L19" s="131">
        <f t="shared" si="10"/>
        <v>95707.186249999984</v>
      </c>
      <c r="M19" s="131">
        <f t="shared" si="3"/>
        <v>8023.5857500000129</v>
      </c>
      <c r="N19" s="132">
        <f t="shared" si="4"/>
        <v>108.38347261515069</v>
      </c>
      <c r="O19" s="132">
        <f t="shared" si="11"/>
        <v>9.0319560512625578</v>
      </c>
      <c r="P19" s="129">
        <f t="shared" ref="P19" si="17">P20+P21+P22+P24+P23</f>
        <v>75712.956999999995</v>
      </c>
      <c r="Q19" s="131">
        <f t="shared" si="5"/>
        <v>28017.815000000002</v>
      </c>
      <c r="R19" s="132">
        <f t="shared" si="15"/>
        <v>137.00531072904732</v>
      </c>
      <c r="S19" s="166">
        <f>P21+P22+P20</f>
        <v>25681.474999999999</v>
      </c>
      <c r="T19" s="166">
        <f>F20+F21+F22</f>
        <v>30555.905999999999</v>
      </c>
    </row>
    <row r="20" spans="1:21" s="117" customFormat="1" ht="23.25" x14ac:dyDescent="0.25">
      <c r="A20" s="116" t="s">
        <v>151</v>
      </c>
      <c r="B20" s="196" t="s">
        <v>59</v>
      </c>
      <c r="C20" s="237" t="s">
        <v>46</v>
      </c>
      <c r="D20" s="133">
        <v>116436.235</v>
      </c>
      <c r="E20" s="133">
        <v>92667.25</v>
      </c>
      <c r="F20" s="134">
        <f t="shared" si="1"/>
        <v>13619.357</v>
      </c>
      <c r="G20" s="133">
        <v>13619.357</v>
      </c>
      <c r="H20" s="133"/>
      <c r="I20" s="135">
        <v>12832</v>
      </c>
      <c r="J20" s="136">
        <f t="shared" si="2"/>
        <v>787.35699999999997</v>
      </c>
      <c r="K20" s="137">
        <f t="shared" si="14"/>
        <v>106.13588684538652</v>
      </c>
      <c r="L20" s="131">
        <f t="shared" si="10"/>
        <v>9703.0195833333328</v>
      </c>
      <c r="M20" s="136">
        <f t="shared" si="3"/>
        <v>3916.3374166666672</v>
      </c>
      <c r="N20" s="137">
        <f t="shared" si="4"/>
        <v>140.36204794838994</v>
      </c>
      <c r="O20" s="137">
        <f t="shared" si="11"/>
        <v>11.696837329032496</v>
      </c>
      <c r="P20" s="134">
        <v>9723.768</v>
      </c>
      <c r="Q20" s="136">
        <f t="shared" si="5"/>
        <v>3895.5889999999999</v>
      </c>
      <c r="R20" s="137">
        <f t="shared" si="15"/>
        <v>140.06254571273195</v>
      </c>
    </row>
    <row r="21" spans="1:21" s="117" customFormat="1" ht="23.25" x14ac:dyDescent="0.25">
      <c r="A21" s="85" t="s">
        <v>152</v>
      </c>
      <c r="B21" s="196" t="s">
        <v>7</v>
      </c>
      <c r="C21" s="237"/>
      <c r="D21" s="133">
        <v>271200</v>
      </c>
      <c r="E21" s="133">
        <v>300000</v>
      </c>
      <c r="F21" s="134">
        <f t="shared" si="1"/>
        <v>16688.975999999999</v>
      </c>
      <c r="G21" s="133">
        <v>16688.975999999999</v>
      </c>
      <c r="H21" s="133"/>
      <c r="I21" s="135">
        <v>15990</v>
      </c>
      <c r="J21" s="136">
        <f t="shared" si="2"/>
        <v>698.97599999999875</v>
      </c>
      <c r="K21" s="137">
        <f t="shared" si="14"/>
        <v>104.37133208255159</v>
      </c>
      <c r="L21" s="131">
        <f t="shared" si="10"/>
        <v>22600</v>
      </c>
      <c r="M21" s="136">
        <f t="shared" si="3"/>
        <v>-5911.0240000000013</v>
      </c>
      <c r="N21" s="137">
        <f t="shared" si="4"/>
        <v>73.845026548672564</v>
      </c>
      <c r="O21" s="137">
        <f t="shared" si="11"/>
        <v>6.1537522123893806</v>
      </c>
      <c r="P21" s="134">
        <v>15633.511</v>
      </c>
      <c r="Q21" s="136">
        <f t="shared" si="5"/>
        <v>1055.4649999999983</v>
      </c>
      <c r="R21" s="137">
        <f t="shared" si="15"/>
        <v>106.75129854067968</v>
      </c>
    </row>
    <row r="22" spans="1:21" s="117" customFormat="1" ht="23.25" x14ac:dyDescent="0.25">
      <c r="A22" s="85" t="s">
        <v>153</v>
      </c>
      <c r="B22" s="196" t="s">
        <v>60</v>
      </c>
      <c r="C22" s="237"/>
      <c r="D22" s="133">
        <v>1200</v>
      </c>
      <c r="E22" s="133">
        <v>475</v>
      </c>
      <c r="F22" s="134">
        <f t="shared" si="1"/>
        <v>247.57300000000001</v>
      </c>
      <c r="G22" s="133">
        <v>247.57300000000001</v>
      </c>
      <c r="H22" s="133"/>
      <c r="I22" s="135">
        <v>228</v>
      </c>
      <c r="J22" s="136">
        <f t="shared" si="2"/>
        <v>19.573000000000008</v>
      </c>
      <c r="K22" s="137">
        <f t="shared" si="14"/>
        <v>108.58464912280704</v>
      </c>
      <c r="L22" s="131">
        <f t="shared" si="10"/>
        <v>100</v>
      </c>
      <c r="M22" s="136">
        <f t="shared" si="3"/>
        <v>147.57300000000001</v>
      </c>
      <c r="N22" s="137">
        <f t="shared" si="4"/>
        <v>247.57300000000001</v>
      </c>
      <c r="O22" s="137">
        <f t="shared" si="11"/>
        <v>20.631083333333333</v>
      </c>
      <c r="P22" s="134">
        <v>324.19600000000003</v>
      </c>
      <c r="Q22" s="136">
        <f t="shared" si="5"/>
        <v>-76.623000000000019</v>
      </c>
      <c r="R22" s="137">
        <f t="shared" si="15"/>
        <v>76.365223506767506</v>
      </c>
      <c r="S22" s="137">
        <f>100-R22</f>
        <v>23.634776493232494</v>
      </c>
      <c r="T22" s="118"/>
      <c r="U22" s="119" t="e">
        <f>F20/#REF!*100</f>
        <v>#REF!</v>
      </c>
    </row>
    <row r="23" spans="1:21" s="121" customFormat="1" ht="23.25" x14ac:dyDescent="0.25">
      <c r="A23" s="85" t="s">
        <v>154</v>
      </c>
      <c r="B23" s="196" t="s">
        <v>42</v>
      </c>
      <c r="C23" s="120" t="s">
        <v>41</v>
      </c>
      <c r="D23" s="133">
        <v>2050</v>
      </c>
      <c r="E23" s="133">
        <v>950</v>
      </c>
      <c r="F23" s="134">
        <f t="shared" si="1"/>
        <v>94</v>
      </c>
      <c r="G23" s="133">
        <v>94</v>
      </c>
      <c r="H23" s="133"/>
      <c r="I23" s="135">
        <v>77</v>
      </c>
      <c r="J23" s="136">
        <f t="shared" si="2"/>
        <v>17</v>
      </c>
      <c r="K23" s="137">
        <f t="shared" si="14"/>
        <v>122.07792207792207</v>
      </c>
      <c r="L23" s="131">
        <f t="shared" si="10"/>
        <v>170.83333333333334</v>
      </c>
      <c r="M23" s="136">
        <f t="shared" si="3"/>
        <v>-76.833333333333343</v>
      </c>
      <c r="N23" s="137">
        <f t="shared" si="4"/>
        <v>55.024390243902431</v>
      </c>
      <c r="O23" s="137">
        <f t="shared" si="11"/>
        <v>4.5853658536585362</v>
      </c>
      <c r="P23" s="134">
        <v>59.935000000000002</v>
      </c>
      <c r="Q23" s="133">
        <f t="shared" si="5"/>
        <v>34.064999999999998</v>
      </c>
      <c r="R23" s="137">
        <f t="shared" si="15"/>
        <v>156.83657295403353</v>
      </c>
    </row>
    <row r="24" spans="1:21" s="117" customFormat="1" ht="23.25" x14ac:dyDescent="0.25">
      <c r="A24" s="85" t="s">
        <v>155</v>
      </c>
      <c r="B24" s="196" t="s">
        <v>35</v>
      </c>
      <c r="C24" s="160" t="s">
        <v>36</v>
      </c>
      <c r="D24" s="133">
        <v>757600</v>
      </c>
      <c r="E24" s="133">
        <v>630569.19999999995</v>
      </c>
      <c r="F24" s="134">
        <f t="shared" si="1"/>
        <v>73080.865999999995</v>
      </c>
      <c r="G24" s="133">
        <v>73080.865999999995</v>
      </c>
      <c r="H24" s="133"/>
      <c r="I24" s="135">
        <v>68359</v>
      </c>
      <c r="J24" s="136">
        <f t="shared" si="2"/>
        <v>4721.8659999999945</v>
      </c>
      <c r="K24" s="137">
        <f t="shared" si="14"/>
        <v>106.90745329802951</v>
      </c>
      <c r="L24" s="131">
        <f t="shared" si="10"/>
        <v>63133.333333333336</v>
      </c>
      <c r="M24" s="136">
        <f t="shared" si="3"/>
        <v>9947.5326666666588</v>
      </c>
      <c r="N24" s="137">
        <f t="shared" si="4"/>
        <v>115.75638753959872</v>
      </c>
      <c r="O24" s="137">
        <f t="shared" si="11"/>
        <v>9.6463656282998933</v>
      </c>
      <c r="P24" s="134">
        <v>49971.546999999999</v>
      </c>
      <c r="Q24" s="136">
        <f t="shared" si="5"/>
        <v>23109.318999999996</v>
      </c>
      <c r="R24" s="137">
        <f t="shared" si="15"/>
        <v>146.24495415361065</v>
      </c>
      <c r="T24" s="118"/>
      <c r="U24" s="119" t="e">
        <f>F24/#REF!*100</f>
        <v>#REF!</v>
      </c>
    </row>
    <row r="25" spans="1:21" s="84" customFormat="1" ht="39" x14ac:dyDescent="0.25">
      <c r="A25" s="80">
        <v>6</v>
      </c>
      <c r="B25" s="89" t="s">
        <v>48</v>
      </c>
      <c r="C25" s="81" t="s">
        <v>18</v>
      </c>
      <c r="D25" s="128">
        <v>950</v>
      </c>
      <c r="E25" s="128">
        <v>450</v>
      </c>
      <c r="F25" s="129">
        <f t="shared" si="1"/>
        <v>1.284</v>
      </c>
      <c r="G25" s="128">
        <v>1.284</v>
      </c>
      <c r="H25" s="128"/>
      <c r="I25" s="130">
        <v>1</v>
      </c>
      <c r="J25" s="131">
        <f t="shared" si="2"/>
        <v>0.28400000000000003</v>
      </c>
      <c r="K25" s="132">
        <f t="shared" si="14"/>
        <v>128.4</v>
      </c>
      <c r="L25" s="131">
        <f t="shared" si="10"/>
        <v>79.166666666666671</v>
      </c>
      <c r="M25" s="131">
        <f t="shared" si="3"/>
        <v>-77.882666666666665</v>
      </c>
      <c r="N25" s="132">
        <f t="shared" si="4"/>
        <v>1.6218947368421051</v>
      </c>
      <c r="O25" s="132">
        <f t="shared" si="11"/>
        <v>0.13515789473684212</v>
      </c>
      <c r="P25" s="129">
        <v>10</v>
      </c>
      <c r="Q25" s="131">
        <f t="shared" si="5"/>
        <v>-8.7159999999999993</v>
      </c>
      <c r="R25" s="132"/>
      <c r="S25" s="83">
        <f>100-R25</f>
        <v>100</v>
      </c>
    </row>
    <row r="26" spans="1:21" s="84" customFormat="1" ht="29.25" customHeight="1" x14ac:dyDescent="0.25">
      <c r="A26" s="80">
        <f t="shared" ref="A26:A31" si="18">A25+1</f>
        <v>7</v>
      </c>
      <c r="B26" s="89" t="s">
        <v>76</v>
      </c>
      <c r="C26" s="81" t="s">
        <v>75</v>
      </c>
      <c r="D26" s="128">
        <v>12000</v>
      </c>
      <c r="E26" s="128">
        <v>12000</v>
      </c>
      <c r="F26" s="129">
        <f t="shared" si="1"/>
        <v>501.13</v>
      </c>
      <c r="G26" s="128">
        <v>501.13</v>
      </c>
      <c r="H26" s="128"/>
      <c r="I26" s="130">
        <v>400</v>
      </c>
      <c r="J26" s="131">
        <f t="shared" si="2"/>
        <v>101.13</v>
      </c>
      <c r="K26" s="132">
        <f t="shared" si="14"/>
        <v>125.28250000000001</v>
      </c>
      <c r="L26" s="131">
        <f t="shared" si="10"/>
        <v>1000</v>
      </c>
      <c r="M26" s="131">
        <f t="shared" si="3"/>
        <v>-498.87</v>
      </c>
      <c r="N26" s="132">
        <f t="shared" si="4"/>
        <v>50.113</v>
      </c>
      <c r="O26" s="132">
        <f t="shared" si="11"/>
        <v>4.1760833333333327</v>
      </c>
      <c r="P26" s="129">
        <v>432.791</v>
      </c>
      <c r="Q26" s="131">
        <f t="shared" si="5"/>
        <v>68.338999999999999</v>
      </c>
      <c r="R26" s="132">
        <f>F26/P26*100</f>
        <v>115.79030063009628</v>
      </c>
    </row>
    <row r="27" spans="1:21" s="84" customFormat="1" ht="27" customHeight="1" x14ac:dyDescent="0.25">
      <c r="A27" s="80">
        <f t="shared" si="18"/>
        <v>8</v>
      </c>
      <c r="B27" s="89" t="s">
        <v>8</v>
      </c>
      <c r="C27" s="81" t="s">
        <v>19</v>
      </c>
      <c r="D27" s="128">
        <v>6.1</v>
      </c>
      <c r="E27" s="128">
        <v>5.5</v>
      </c>
      <c r="F27" s="129">
        <f t="shared" si="1"/>
        <v>0</v>
      </c>
      <c r="G27" s="128">
        <v>0</v>
      </c>
      <c r="H27" s="128"/>
      <c r="I27" s="130">
        <v>0</v>
      </c>
      <c r="J27" s="131">
        <f t="shared" si="2"/>
        <v>0</v>
      </c>
      <c r="K27" s="132"/>
      <c r="L27" s="131">
        <f t="shared" si="10"/>
        <v>0.5083333333333333</v>
      </c>
      <c r="M27" s="131">
        <f t="shared" si="3"/>
        <v>-0.5083333333333333</v>
      </c>
      <c r="N27" s="132">
        <f t="shared" si="4"/>
        <v>0</v>
      </c>
      <c r="O27" s="132">
        <f t="shared" si="11"/>
        <v>0</v>
      </c>
      <c r="P27" s="129">
        <v>0</v>
      </c>
      <c r="Q27" s="131">
        <f t="shared" si="5"/>
        <v>0</v>
      </c>
      <c r="R27" s="132"/>
    </row>
    <row r="28" spans="1:21" s="84" customFormat="1" ht="58.5" x14ac:dyDescent="0.25">
      <c r="A28" s="80">
        <f t="shared" si="18"/>
        <v>9</v>
      </c>
      <c r="B28" s="151" t="s">
        <v>97</v>
      </c>
      <c r="C28" s="109" t="s">
        <v>98</v>
      </c>
      <c r="D28" s="128">
        <v>0.05</v>
      </c>
      <c r="E28" s="128">
        <v>4.5</v>
      </c>
      <c r="F28" s="129">
        <f t="shared" si="1"/>
        <v>5.1849999999999996</v>
      </c>
      <c r="G28" s="128">
        <v>5.1849999999999996</v>
      </c>
      <c r="H28" s="128"/>
      <c r="I28" s="130">
        <v>0.05</v>
      </c>
      <c r="J28" s="131">
        <f t="shared" si="2"/>
        <v>5.1349999999999998</v>
      </c>
      <c r="K28" s="132">
        <f t="shared" ref="K28:K39" si="19">F28/I28*100</f>
        <v>10369.999999999998</v>
      </c>
      <c r="L28" s="131">
        <f t="shared" si="10"/>
        <v>4.1666666666666666E-3</v>
      </c>
      <c r="M28" s="131">
        <f t="shared" si="3"/>
        <v>5.1808333333333332</v>
      </c>
      <c r="N28" s="132">
        <f t="shared" si="4"/>
        <v>124439.99999999999</v>
      </c>
      <c r="O28" s="132">
        <f t="shared" si="11"/>
        <v>10369.999999999998</v>
      </c>
      <c r="P28" s="129">
        <v>0</v>
      </c>
      <c r="Q28" s="131">
        <f t="shared" si="5"/>
        <v>5.1849999999999996</v>
      </c>
      <c r="R28" s="132"/>
    </row>
    <row r="29" spans="1:21" s="84" customFormat="1" ht="23.25" x14ac:dyDescent="0.25">
      <c r="A29" s="80">
        <f t="shared" si="18"/>
        <v>10</v>
      </c>
      <c r="B29" s="147" t="s">
        <v>32</v>
      </c>
      <c r="C29" s="81" t="s">
        <v>25</v>
      </c>
      <c r="D29" s="128">
        <v>14300</v>
      </c>
      <c r="E29" s="128">
        <v>8804.73</v>
      </c>
      <c r="F29" s="129">
        <f t="shared" si="1"/>
        <v>1031.287</v>
      </c>
      <c r="G29" s="128">
        <v>1031.287</v>
      </c>
      <c r="H29" s="128"/>
      <c r="I29" s="130">
        <v>965</v>
      </c>
      <c r="J29" s="131">
        <f t="shared" si="2"/>
        <v>66.287000000000035</v>
      </c>
      <c r="K29" s="132">
        <f t="shared" si="19"/>
        <v>106.86911917098445</v>
      </c>
      <c r="L29" s="131">
        <f t="shared" si="10"/>
        <v>1191.6666666666667</v>
      </c>
      <c r="M29" s="131">
        <f t="shared" si="3"/>
        <v>-160.37966666666671</v>
      </c>
      <c r="N29" s="132">
        <f t="shared" si="4"/>
        <v>86.54156643356643</v>
      </c>
      <c r="O29" s="132">
        <f t="shared" si="11"/>
        <v>7.2117972027972028</v>
      </c>
      <c r="P29" s="129">
        <v>497.94799999999998</v>
      </c>
      <c r="Q29" s="131">
        <f t="shared" si="5"/>
        <v>533.33900000000006</v>
      </c>
      <c r="R29" s="132">
        <f t="shared" ref="R29:R39" si="20">F29/P29*100</f>
        <v>207.10736864090228</v>
      </c>
      <c r="S29" s="83">
        <f>100-R29</f>
        <v>-107.10736864090228</v>
      </c>
    </row>
    <row r="30" spans="1:21" s="84" customFormat="1" ht="39" x14ac:dyDescent="0.25">
      <c r="A30" s="80">
        <f t="shared" si="18"/>
        <v>11</v>
      </c>
      <c r="B30" s="147" t="s">
        <v>87</v>
      </c>
      <c r="C30" s="81" t="s">
        <v>86</v>
      </c>
      <c r="D30" s="128">
        <v>560</v>
      </c>
      <c r="E30" s="128">
        <v>410</v>
      </c>
      <c r="F30" s="129">
        <f t="shared" si="1"/>
        <v>79.635000000000005</v>
      </c>
      <c r="G30" s="128">
        <v>79.635000000000005</v>
      </c>
      <c r="H30" s="128"/>
      <c r="I30" s="130">
        <v>72</v>
      </c>
      <c r="J30" s="131">
        <f t="shared" si="2"/>
        <v>7.6350000000000051</v>
      </c>
      <c r="K30" s="132">
        <f t="shared" si="19"/>
        <v>110.60416666666669</v>
      </c>
      <c r="L30" s="131">
        <f t="shared" si="10"/>
        <v>46.666666666666664</v>
      </c>
      <c r="M30" s="131">
        <f t="shared" si="3"/>
        <v>32.968333333333341</v>
      </c>
      <c r="N30" s="132">
        <f t="shared" si="4"/>
        <v>170.6464285714286</v>
      </c>
      <c r="O30" s="132">
        <f t="shared" si="11"/>
        <v>14.220535714285715</v>
      </c>
      <c r="P30" s="129">
        <v>14.6</v>
      </c>
      <c r="Q30" s="131">
        <f t="shared" si="5"/>
        <v>65.035000000000011</v>
      </c>
      <c r="R30" s="132">
        <f t="shared" si="20"/>
        <v>545.44520547945206</v>
      </c>
    </row>
    <row r="31" spans="1:21" s="84" customFormat="1" ht="23.25" x14ac:dyDescent="0.25">
      <c r="A31" s="80">
        <f t="shared" si="18"/>
        <v>12</v>
      </c>
      <c r="B31" s="147" t="s">
        <v>117</v>
      </c>
      <c r="C31" s="81" t="s">
        <v>118</v>
      </c>
      <c r="D31" s="128">
        <v>18563.54</v>
      </c>
      <c r="E31" s="128">
        <v>15000</v>
      </c>
      <c r="F31" s="129">
        <f t="shared" si="1"/>
        <v>1407.4690000000001</v>
      </c>
      <c r="G31" s="128">
        <v>1407.4690000000001</v>
      </c>
      <c r="H31" s="128"/>
      <c r="I31" s="130">
        <v>1300</v>
      </c>
      <c r="J31" s="131">
        <f t="shared" si="2"/>
        <v>107.46900000000005</v>
      </c>
      <c r="K31" s="132">
        <f t="shared" si="19"/>
        <v>108.26684615384616</v>
      </c>
      <c r="L31" s="131">
        <f t="shared" si="10"/>
        <v>1546.9616666666668</v>
      </c>
      <c r="M31" s="131">
        <f t="shared" si="3"/>
        <v>-139.49266666666676</v>
      </c>
      <c r="N31" s="132">
        <f t="shared" si="4"/>
        <v>90.982797462121979</v>
      </c>
      <c r="O31" s="132">
        <f t="shared" si="11"/>
        <v>7.5818997885101655</v>
      </c>
      <c r="P31" s="129">
        <v>1342.5139999999999</v>
      </c>
      <c r="Q31" s="131">
        <f t="shared" si="5"/>
        <v>64.955000000000155</v>
      </c>
      <c r="R31" s="132">
        <f t="shared" si="20"/>
        <v>104.83831081091148</v>
      </c>
    </row>
    <row r="32" spans="1:21" s="84" customFormat="1" ht="58.5" x14ac:dyDescent="0.25">
      <c r="A32" s="80"/>
      <c r="B32" s="147" t="s">
        <v>176</v>
      </c>
      <c r="C32" s="81" t="s">
        <v>177</v>
      </c>
      <c r="D32" s="128">
        <v>35</v>
      </c>
      <c r="E32" s="128"/>
      <c r="F32" s="129">
        <f t="shared" si="1"/>
        <v>8.39</v>
      </c>
      <c r="G32" s="128">
        <v>8.39</v>
      </c>
      <c r="H32" s="128"/>
      <c r="I32" s="130">
        <v>7.7</v>
      </c>
      <c r="J32" s="131">
        <f t="shared" si="2"/>
        <v>0.69000000000000039</v>
      </c>
      <c r="K32" s="132">
        <f t="shared" si="19"/>
        <v>108.96103896103897</v>
      </c>
      <c r="L32" s="131">
        <f t="shared" si="10"/>
        <v>2.9166666666666665</v>
      </c>
      <c r="M32" s="131">
        <f t="shared" si="3"/>
        <v>5.4733333333333345</v>
      </c>
      <c r="N32" s="132">
        <f>F32/L32*100</f>
        <v>287.6571428571429</v>
      </c>
      <c r="O32" s="132">
        <f t="shared" si="11"/>
        <v>23.971428571428575</v>
      </c>
      <c r="P32" s="129"/>
      <c r="Q32" s="131"/>
      <c r="R32" s="132"/>
    </row>
    <row r="33" spans="1:25" s="84" customFormat="1" ht="23.25" x14ac:dyDescent="0.25">
      <c r="A33" s="80">
        <f>A31+1</f>
        <v>13</v>
      </c>
      <c r="B33" s="147" t="s">
        <v>89</v>
      </c>
      <c r="C33" s="81" t="s">
        <v>88</v>
      </c>
      <c r="D33" s="128">
        <f>SUM(D34:D37)</f>
        <v>34832</v>
      </c>
      <c r="E33" s="128">
        <f>SUM(E34:E37)</f>
        <v>27762.799999999999</v>
      </c>
      <c r="F33" s="129">
        <f t="shared" si="1"/>
        <v>2780.7419999999997</v>
      </c>
      <c r="G33" s="128">
        <f t="shared" ref="G33:I33" si="21">SUM(G34:G37)</f>
        <v>2780.7419999999997</v>
      </c>
      <c r="H33" s="128"/>
      <c r="I33" s="130">
        <f t="shared" si="21"/>
        <v>2653.7</v>
      </c>
      <c r="J33" s="131">
        <f t="shared" si="2"/>
        <v>127.04199999999992</v>
      </c>
      <c r="K33" s="132">
        <f t="shared" si="19"/>
        <v>104.78735350642498</v>
      </c>
      <c r="L33" s="131">
        <f t="shared" si="10"/>
        <v>2902.6666666666665</v>
      </c>
      <c r="M33" s="131">
        <f t="shared" si="3"/>
        <v>-121.92466666666678</v>
      </c>
      <c r="N33" s="132">
        <f t="shared" si="4"/>
        <v>95.799563619660077</v>
      </c>
      <c r="O33" s="132">
        <f t="shared" si="11"/>
        <v>7.9832969683050061</v>
      </c>
      <c r="P33" s="129">
        <f t="shared" ref="P33" si="22">SUM(P34:P37)</f>
        <v>2016.3869999999999</v>
      </c>
      <c r="Q33" s="131">
        <f t="shared" si="5"/>
        <v>764.35499999999979</v>
      </c>
      <c r="R33" s="132">
        <f t="shared" si="20"/>
        <v>137.90715770335754</v>
      </c>
    </row>
    <row r="34" spans="1:25" s="88" customFormat="1" ht="39" x14ac:dyDescent="0.25">
      <c r="A34" s="85" t="s">
        <v>156</v>
      </c>
      <c r="B34" s="148" t="s">
        <v>81</v>
      </c>
      <c r="C34" s="160" t="s">
        <v>80</v>
      </c>
      <c r="D34" s="133">
        <v>1500</v>
      </c>
      <c r="E34" s="133">
        <v>1300</v>
      </c>
      <c r="F34" s="134">
        <f t="shared" si="1"/>
        <v>105.29900000000001</v>
      </c>
      <c r="G34" s="133">
        <v>105.29900000000001</v>
      </c>
      <c r="H34" s="133"/>
      <c r="I34" s="135">
        <v>94</v>
      </c>
      <c r="J34" s="136">
        <f t="shared" si="2"/>
        <v>11.299000000000007</v>
      </c>
      <c r="K34" s="137">
        <f t="shared" si="19"/>
        <v>112.02021276595747</v>
      </c>
      <c r="L34" s="131">
        <f t="shared" si="10"/>
        <v>125</v>
      </c>
      <c r="M34" s="136">
        <f t="shared" si="3"/>
        <v>-19.700999999999993</v>
      </c>
      <c r="N34" s="137">
        <f t="shared" si="4"/>
        <v>84.239199999999997</v>
      </c>
      <c r="O34" s="137">
        <f t="shared" si="11"/>
        <v>7.0199333333333334</v>
      </c>
      <c r="P34" s="134">
        <v>91.153999999999996</v>
      </c>
      <c r="Q34" s="136">
        <f t="shared" si="5"/>
        <v>14.14500000000001</v>
      </c>
      <c r="R34" s="137">
        <f t="shared" si="20"/>
        <v>115.51769532878427</v>
      </c>
      <c r="S34" s="137">
        <f>R34-100</f>
        <v>15.517695328784271</v>
      </c>
      <c r="T34" s="86"/>
    </row>
    <row r="35" spans="1:25" s="88" customFormat="1" ht="23.25" x14ac:dyDescent="0.25">
      <c r="A35" s="85" t="s">
        <v>157</v>
      </c>
      <c r="B35" s="149" t="s">
        <v>61</v>
      </c>
      <c r="C35" s="72" t="s">
        <v>62</v>
      </c>
      <c r="D35" s="133">
        <v>32000</v>
      </c>
      <c r="E35" s="133">
        <v>24922.799999999999</v>
      </c>
      <c r="F35" s="134">
        <f t="shared" si="1"/>
        <v>2558.1509999999998</v>
      </c>
      <c r="G35" s="133">
        <v>2558.1509999999998</v>
      </c>
      <c r="H35" s="133"/>
      <c r="I35" s="135">
        <v>2450</v>
      </c>
      <c r="J35" s="136">
        <f t="shared" si="2"/>
        <v>108.15099999999984</v>
      </c>
      <c r="K35" s="137">
        <f t="shared" si="19"/>
        <v>104.41432653061224</v>
      </c>
      <c r="L35" s="131">
        <f t="shared" si="10"/>
        <v>2666.6666666666665</v>
      </c>
      <c r="M35" s="136">
        <f t="shared" si="3"/>
        <v>-108.51566666666668</v>
      </c>
      <c r="N35" s="137">
        <f t="shared" si="4"/>
        <v>95.930662499999997</v>
      </c>
      <c r="O35" s="137">
        <f t="shared" si="11"/>
        <v>7.9942218749999991</v>
      </c>
      <c r="P35" s="134">
        <v>1816.0029999999999</v>
      </c>
      <c r="Q35" s="136">
        <f t="shared" si="5"/>
        <v>742.14799999999991</v>
      </c>
      <c r="R35" s="137">
        <f t="shared" si="20"/>
        <v>140.86711310498936</v>
      </c>
      <c r="S35" s="137">
        <f>R35-100</f>
        <v>40.867113104989357</v>
      </c>
      <c r="T35" s="87"/>
    </row>
    <row r="36" spans="1:25" s="88" customFormat="1" ht="29.25" customHeight="1" x14ac:dyDescent="0.25">
      <c r="A36" s="85" t="s">
        <v>158</v>
      </c>
      <c r="B36" s="149" t="s">
        <v>85</v>
      </c>
      <c r="C36" s="72" t="s">
        <v>82</v>
      </c>
      <c r="D36" s="133">
        <v>1250</v>
      </c>
      <c r="E36" s="133">
        <v>1400</v>
      </c>
      <c r="F36" s="134">
        <f t="shared" si="1"/>
        <v>109.502</v>
      </c>
      <c r="G36" s="133">
        <v>109.502</v>
      </c>
      <c r="H36" s="133"/>
      <c r="I36" s="135">
        <v>102</v>
      </c>
      <c r="J36" s="136">
        <f t="shared" si="2"/>
        <v>7.5019999999999953</v>
      </c>
      <c r="K36" s="137">
        <f t="shared" si="19"/>
        <v>107.3549019607843</v>
      </c>
      <c r="L36" s="131">
        <f t="shared" si="10"/>
        <v>104.16666666666667</v>
      </c>
      <c r="M36" s="136">
        <f t="shared" si="3"/>
        <v>5.3353333333333239</v>
      </c>
      <c r="N36" s="137">
        <f t="shared" si="4"/>
        <v>105.12191999999997</v>
      </c>
      <c r="O36" s="137">
        <f t="shared" si="11"/>
        <v>8.7601600000000008</v>
      </c>
      <c r="P36" s="134">
        <v>106.9</v>
      </c>
      <c r="Q36" s="136">
        <f t="shared" si="5"/>
        <v>2.6019999999999897</v>
      </c>
      <c r="R36" s="137">
        <f t="shared" si="20"/>
        <v>102.43405051449952</v>
      </c>
    </row>
    <row r="37" spans="1:25" s="88" customFormat="1" ht="82.5" customHeight="1" x14ac:dyDescent="0.25">
      <c r="A37" s="85" t="s">
        <v>159</v>
      </c>
      <c r="B37" s="150" t="s">
        <v>84</v>
      </c>
      <c r="C37" s="72" t="s">
        <v>83</v>
      </c>
      <c r="D37" s="133">
        <v>82</v>
      </c>
      <c r="E37" s="133">
        <v>140</v>
      </c>
      <c r="F37" s="134">
        <f t="shared" si="1"/>
        <v>7.79</v>
      </c>
      <c r="G37" s="133">
        <v>7.79</v>
      </c>
      <c r="H37" s="133"/>
      <c r="I37" s="135">
        <v>7.7</v>
      </c>
      <c r="J37" s="136">
        <f t="shared" si="2"/>
        <v>8.9999999999999858E-2</v>
      </c>
      <c r="K37" s="137">
        <f t="shared" si="19"/>
        <v>101.16883116883118</v>
      </c>
      <c r="L37" s="131">
        <f t="shared" si="10"/>
        <v>6.833333333333333</v>
      </c>
      <c r="M37" s="136">
        <f t="shared" si="3"/>
        <v>0.956666666666667</v>
      </c>
      <c r="N37" s="137">
        <f t="shared" si="4"/>
        <v>114.00000000000001</v>
      </c>
      <c r="O37" s="137">
        <f t="shared" si="11"/>
        <v>9.5</v>
      </c>
      <c r="P37" s="134">
        <v>2.33</v>
      </c>
      <c r="Q37" s="136">
        <f t="shared" si="5"/>
        <v>5.46</v>
      </c>
      <c r="R37" s="137">
        <f t="shared" si="20"/>
        <v>334.33476394849782</v>
      </c>
    </row>
    <row r="38" spans="1:25" s="84" customFormat="1" ht="39" x14ac:dyDescent="0.25">
      <c r="A38" s="80">
        <v>14</v>
      </c>
      <c r="B38" s="151" t="s">
        <v>37</v>
      </c>
      <c r="C38" s="81" t="s">
        <v>20</v>
      </c>
      <c r="D38" s="128">
        <v>12300</v>
      </c>
      <c r="E38" s="128">
        <v>12000</v>
      </c>
      <c r="F38" s="129">
        <f t="shared" si="1"/>
        <v>1496.537</v>
      </c>
      <c r="G38" s="128">
        <v>1496.537</v>
      </c>
      <c r="H38" s="128"/>
      <c r="I38" s="130">
        <v>1489.5</v>
      </c>
      <c r="J38" s="131">
        <f t="shared" si="2"/>
        <v>7.0370000000000346</v>
      </c>
      <c r="K38" s="132">
        <f t="shared" si="19"/>
        <v>100.47244041624705</v>
      </c>
      <c r="L38" s="131">
        <f t="shared" si="10"/>
        <v>1025</v>
      </c>
      <c r="M38" s="131">
        <f t="shared" si="3"/>
        <v>471.53700000000003</v>
      </c>
      <c r="N38" s="132">
        <f t="shared" si="4"/>
        <v>146.00360975609757</v>
      </c>
      <c r="O38" s="132">
        <f t="shared" si="11"/>
        <v>12.166967479674797</v>
      </c>
      <c r="P38" s="129">
        <v>886.822</v>
      </c>
      <c r="Q38" s="131">
        <f t="shared" si="5"/>
        <v>609.71500000000003</v>
      </c>
      <c r="R38" s="132">
        <f t="shared" si="20"/>
        <v>168.75280495973263</v>
      </c>
    </row>
    <row r="39" spans="1:25" s="84" customFormat="1" ht="23.25" x14ac:dyDescent="0.25">
      <c r="A39" s="80">
        <f t="shared" ref="A39:A45" si="23">A38+1</f>
        <v>15</v>
      </c>
      <c r="B39" s="89" t="s">
        <v>56</v>
      </c>
      <c r="C39" s="81" t="s">
        <v>16</v>
      </c>
      <c r="D39" s="128">
        <v>600</v>
      </c>
      <c r="E39" s="128">
        <v>600.5</v>
      </c>
      <c r="F39" s="129">
        <f t="shared" si="1"/>
        <v>46.207000000000001</v>
      </c>
      <c r="G39" s="128">
        <v>46.207000000000001</v>
      </c>
      <c r="H39" s="128"/>
      <c r="I39" s="130">
        <v>44</v>
      </c>
      <c r="J39" s="131">
        <f t="shared" si="2"/>
        <v>2.2070000000000007</v>
      </c>
      <c r="K39" s="132">
        <f t="shared" si="19"/>
        <v>105.0159090909091</v>
      </c>
      <c r="L39" s="131">
        <f t="shared" si="10"/>
        <v>50</v>
      </c>
      <c r="M39" s="131">
        <f t="shared" si="3"/>
        <v>-3.7929999999999993</v>
      </c>
      <c r="N39" s="132">
        <f t="shared" si="4"/>
        <v>92.414000000000001</v>
      </c>
      <c r="O39" s="132">
        <f t="shared" si="11"/>
        <v>7.7011666666666674</v>
      </c>
      <c r="P39" s="129">
        <v>33.802</v>
      </c>
      <c r="Q39" s="131">
        <f t="shared" si="5"/>
        <v>12.405000000000001</v>
      </c>
      <c r="R39" s="132">
        <f t="shared" si="20"/>
        <v>136.69901189278741</v>
      </c>
      <c r="S39" s="83">
        <f>100-R39</f>
        <v>-36.699011892787411</v>
      </c>
    </row>
    <row r="40" spans="1:25" s="84" customFormat="1" ht="59.25" customHeight="1" x14ac:dyDescent="0.25">
      <c r="A40" s="80">
        <f t="shared" si="23"/>
        <v>16</v>
      </c>
      <c r="B40" s="89" t="s">
        <v>105</v>
      </c>
      <c r="C40" s="81" t="s">
        <v>104</v>
      </c>
      <c r="D40" s="128">
        <v>2.6</v>
      </c>
      <c r="E40" s="128">
        <v>2.5499999999999998</v>
      </c>
      <c r="F40" s="129">
        <f t="shared" si="1"/>
        <v>0</v>
      </c>
      <c r="G40" s="128">
        <v>0</v>
      </c>
      <c r="H40" s="128"/>
      <c r="I40" s="130">
        <v>0</v>
      </c>
      <c r="J40" s="131">
        <f t="shared" si="2"/>
        <v>0</v>
      </c>
      <c r="K40" s="132"/>
      <c r="L40" s="131">
        <f t="shared" si="10"/>
        <v>0.21666666666666667</v>
      </c>
      <c r="M40" s="131">
        <f t="shared" si="3"/>
        <v>-0.21666666666666667</v>
      </c>
      <c r="N40" s="132"/>
      <c r="O40" s="132">
        <f t="shared" si="11"/>
        <v>0</v>
      </c>
      <c r="P40" s="129">
        <v>0</v>
      </c>
      <c r="Q40" s="131">
        <f t="shared" si="5"/>
        <v>0</v>
      </c>
      <c r="R40" s="132"/>
    </row>
    <row r="41" spans="1:25" s="84" customFormat="1" ht="23.25" x14ac:dyDescent="0.25">
      <c r="A41" s="80">
        <f t="shared" si="23"/>
        <v>17</v>
      </c>
      <c r="B41" s="114" t="s">
        <v>63</v>
      </c>
      <c r="C41" s="34" t="s">
        <v>64</v>
      </c>
      <c r="D41" s="128">
        <v>235</v>
      </c>
      <c r="E41" s="128">
        <v>70</v>
      </c>
      <c r="F41" s="129">
        <f t="shared" si="1"/>
        <v>0</v>
      </c>
      <c r="G41" s="128">
        <v>0</v>
      </c>
      <c r="H41" s="128"/>
      <c r="I41" s="130">
        <v>0</v>
      </c>
      <c r="J41" s="131">
        <f t="shared" si="2"/>
        <v>0</v>
      </c>
      <c r="K41" s="132"/>
      <c r="L41" s="131">
        <f t="shared" si="10"/>
        <v>19.583333333333332</v>
      </c>
      <c r="M41" s="131">
        <f t="shared" si="3"/>
        <v>-19.583333333333332</v>
      </c>
      <c r="N41" s="132">
        <f t="shared" ref="N41:N49" si="24">F41/L41*100</f>
        <v>0</v>
      </c>
      <c r="O41" s="132">
        <f t="shared" si="11"/>
        <v>0</v>
      </c>
      <c r="P41" s="129">
        <v>0</v>
      </c>
      <c r="Q41" s="131">
        <f t="shared" si="5"/>
        <v>0</v>
      </c>
      <c r="R41" s="132"/>
    </row>
    <row r="42" spans="1:25" s="84" customFormat="1" ht="23.25" x14ac:dyDescent="0.25">
      <c r="A42" s="80">
        <f t="shared" si="23"/>
        <v>18</v>
      </c>
      <c r="B42" s="89" t="s">
        <v>8</v>
      </c>
      <c r="C42" s="81" t="s">
        <v>21</v>
      </c>
      <c r="D42" s="128">
        <v>1700</v>
      </c>
      <c r="E42" s="128">
        <v>1400</v>
      </c>
      <c r="F42" s="129">
        <f t="shared" ref="F42:F57" si="25">SUM(G42:G42)</f>
        <v>229.78800000000001</v>
      </c>
      <c r="G42" s="128">
        <v>229.78800000000001</v>
      </c>
      <c r="H42" s="128"/>
      <c r="I42" s="130">
        <v>200</v>
      </c>
      <c r="J42" s="131">
        <f t="shared" si="2"/>
        <v>29.788000000000011</v>
      </c>
      <c r="K42" s="132">
        <f>F42/I42*100</f>
        <v>114.89400000000001</v>
      </c>
      <c r="L42" s="131">
        <f t="shared" si="10"/>
        <v>141.66666666666666</v>
      </c>
      <c r="M42" s="131">
        <f t="shared" si="3"/>
        <v>88.121333333333354</v>
      </c>
      <c r="N42" s="132">
        <f t="shared" si="24"/>
        <v>162.20329411764706</v>
      </c>
      <c r="O42" s="132">
        <f t="shared" si="11"/>
        <v>13.51694117647059</v>
      </c>
      <c r="P42" s="129">
        <v>161.375</v>
      </c>
      <c r="Q42" s="131">
        <f t="shared" si="5"/>
        <v>68.413000000000011</v>
      </c>
      <c r="R42" s="132">
        <f>F42/P42*100</f>
        <v>142.39380325329202</v>
      </c>
      <c r="V42" s="84">
        <v>246438.04</v>
      </c>
    </row>
    <row r="43" spans="1:25" s="84" customFormat="1" ht="61.5" customHeight="1" x14ac:dyDescent="0.25">
      <c r="A43" s="80">
        <f t="shared" si="23"/>
        <v>19</v>
      </c>
      <c r="B43" s="89" t="s">
        <v>183</v>
      </c>
      <c r="C43" s="81" t="s">
        <v>49</v>
      </c>
      <c r="D43" s="128">
        <v>1000</v>
      </c>
      <c r="E43" s="128">
        <v>1000</v>
      </c>
      <c r="F43" s="129">
        <f t="shared" si="25"/>
        <v>162.79300000000001</v>
      </c>
      <c r="G43" s="128">
        <v>162.79300000000001</v>
      </c>
      <c r="H43" s="128"/>
      <c r="I43" s="130">
        <v>162</v>
      </c>
      <c r="J43" s="131">
        <f t="shared" si="2"/>
        <v>0.79300000000000637</v>
      </c>
      <c r="K43" s="132">
        <f>F43/I43*100</f>
        <v>100.48950617283951</v>
      </c>
      <c r="L43" s="131">
        <f t="shared" si="10"/>
        <v>83.333333333333329</v>
      </c>
      <c r="M43" s="131">
        <f t="shared" si="3"/>
        <v>79.459666666666678</v>
      </c>
      <c r="N43" s="132">
        <f t="shared" si="24"/>
        <v>195.35160000000002</v>
      </c>
      <c r="O43" s="132">
        <f t="shared" si="11"/>
        <v>16.279299999999999</v>
      </c>
      <c r="P43" s="129">
        <v>2.294</v>
      </c>
      <c r="Q43" s="131">
        <f t="shared" si="5"/>
        <v>160.499</v>
      </c>
      <c r="R43" s="132">
        <f>F43/P43*100</f>
        <v>7096.469049694856</v>
      </c>
    </row>
    <row r="44" spans="1:25" s="84" customFormat="1" ht="58.5" x14ac:dyDescent="0.25">
      <c r="A44" s="80">
        <f t="shared" si="23"/>
        <v>20</v>
      </c>
      <c r="B44" s="89" t="s">
        <v>133</v>
      </c>
      <c r="C44" s="81" t="s">
        <v>132</v>
      </c>
      <c r="D44" s="128">
        <v>1</v>
      </c>
      <c r="E44" s="128">
        <v>15</v>
      </c>
      <c r="F44" s="129">
        <f t="shared" si="25"/>
        <v>0</v>
      </c>
      <c r="G44" s="128">
        <v>0</v>
      </c>
      <c r="H44" s="128"/>
      <c r="I44" s="130">
        <v>0</v>
      </c>
      <c r="J44" s="131">
        <f t="shared" si="2"/>
        <v>0</v>
      </c>
      <c r="K44" s="132"/>
      <c r="L44" s="131">
        <f t="shared" si="10"/>
        <v>8.3333333333333329E-2</v>
      </c>
      <c r="M44" s="131">
        <f t="shared" si="3"/>
        <v>-8.3333333333333329E-2</v>
      </c>
      <c r="N44" s="132">
        <f t="shared" si="24"/>
        <v>0</v>
      </c>
      <c r="O44" s="132">
        <f t="shared" si="11"/>
        <v>0</v>
      </c>
      <c r="P44" s="129">
        <v>0</v>
      </c>
      <c r="Q44" s="131">
        <f t="shared" si="5"/>
        <v>0</v>
      </c>
      <c r="R44" s="132"/>
      <c r="T44" s="82">
        <f>F46-F42</f>
        <v>303309.93900000007</v>
      </c>
      <c r="U44" s="82">
        <f>P46-P42</f>
        <v>237133.86899999995</v>
      </c>
      <c r="V44" s="83">
        <f>T44/U44</f>
        <v>1.2790662939843491</v>
      </c>
    </row>
    <row r="45" spans="1:25" s="84" customFormat="1" ht="29.25" customHeight="1" x14ac:dyDescent="0.25">
      <c r="A45" s="80">
        <f t="shared" si="23"/>
        <v>21</v>
      </c>
      <c r="B45" s="89" t="s">
        <v>91</v>
      </c>
      <c r="C45" s="81" t="s">
        <v>90</v>
      </c>
      <c r="D45" s="128">
        <v>1</v>
      </c>
      <c r="E45" s="128">
        <v>4.4000000000000004</v>
      </c>
      <c r="F45" s="129">
        <f t="shared" si="25"/>
        <v>0</v>
      </c>
      <c r="G45" s="128">
        <v>0</v>
      </c>
      <c r="H45" s="128"/>
      <c r="I45" s="130">
        <v>0</v>
      </c>
      <c r="J45" s="131">
        <f t="shared" si="2"/>
        <v>0</v>
      </c>
      <c r="K45" s="132"/>
      <c r="L45" s="131">
        <f t="shared" si="10"/>
        <v>8.3333333333333329E-2</v>
      </c>
      <c r="M45" s="131">
        <f t="shared" si="3"/>
        <v>-8.3333333333333329E-2</v>
      </c>
      <c r="N45" s="132">
        <f t="shared" si="24"/>
        <v>0</v>
      </c>
      <c r="O45" s="132">
        <f t="shared" si="11"/>
        <v>0</v>
      </c>
      <c r="P45" s="129">
        <v>0</v>
      </c>
      <c r="Q45" s="131">
        <f t="shared" si="5"/>
        <v>0</v>
      </c>
      <c r="R45" s="132"/>
    </row>
    <row r="46" spans="1:25" s="95" customFormat="1" ht="31.5" customHeight="1" x14ac:dyDescent="0.3">
      <c r="A46" s="90"/>
      <c r="B46" s="91" t="s">
        <v>184</v>
      </c>
      <c r="C46" s="92"/>
      <c r="D46" s="92">
        <f>D7+D9+D10+D15+D19+D25+D26+D27+D28+D29+D30+D31+D33+D38+D39+D40+D41+D42+D43+D45+D44+D32</f>
        <v>4389459.9849999994</v>
      </c>
      <c r="E46" s="92">
        <f>E7+E9+E10+E15+E19+E25+E26+E27+E28+E29+E30+E31+E33+E38+E39+E40+E41+E42+E43+E45+E44</f>
        <v>3751621.3889999995</v>
      </c>
      <c r="F46" s="92">
        <f t="shared" si="25"/>
        <v>303539.72700000007</v>
      </c>
      <c r="G46" s="92">
        <f>G7+G9+G10+G15+G19+G25+G26+G27+G28+G29+G30+G31+G33+G38+G39+G40+G41+G42+G43+G45+G44+G32</f>
        <v>303539.72700000007</v>
      </c>
      <c r="H46" s="92"/>
      <c r="I46" s="92">
        <f>I7+I9+I10+I15+I19+I25+I26+I27+I28+I29+I30+I31+I33+I38+I39+I40+I41+I42+I43+I45+I44+I32</f>
        <v>276524.78500000003</v>
      </c>
      <c r="J46" s="93">
        <f t="shared" si="2"/>
        <v>27014.942000000039</v>
      </c>
      <c r="K46" s="94">
        <f t="shared" ref="K46:K51" si="26">F46/I46*100</f>
        <v>109.76944688701234</v>
      </c>
      <c r="L46" s="92">
        <f>L7+L9+L10+L15+L19+L25+L26+L27+L28+L29+L30+L31+L33+L38+L39+L40+L41+L42+L43+L45+L44+L32</f>
        <v>365788.3320833334</v>
      </c>
      <c r="M46" s="93">
        <f t="shared" si="3"/>
        <v>-62248.605083333328</v>
      </c>
      <c r="N46" s="94">
        <f t="shared" si="24"/>
        <v>82.982342621811142</v>
      </c>
      <c r="O46" s="94">
        <f t="shared" si="11"/>
        <v>6.9151952184842642</v>
      </c>
      <c r="P46" s="92">
        <f>P7+P9+P10+P15+P19+P25+P26+P27+P28+P29+P30+P31+P33+P38+P39+P40+P41+P42+P43+P45+P44</f>
        <v>237295.24399999995</v>
      </c>
      <c r="Q46" s="93">
        <f t="shared" si="5"/>
        <v>66244.483000000124</v>
      </c>
      <c r="R46" s="94">
        <f>F46/P46*100</f>
        <v>127.91648154566475</v>
      </c>
      <c r="S46" s="96">
        <v>231503.71900000001</v>
      </c>
      <c r="T46" s="96">
        <f>S46-P46</f>
        <v>-5791.524999999936</v>
      </c>
      <c r="W46" s="96" t="e">
        <f>#REF!-#REF!-#REF!</f>
        <v>#REF!</v>
      </c>
      <c r="Y46" s="95">
        <v>294547.38299999997</v>
      </c>
    </row>
    <row r="47" spans="1:25" s="95" customFormat="1" ht="48" customHeight="1" x14ac:dyDescent="0.3">
      <c r="A47" s="90"/>
      <c r="B47" s="91" t="s">
        <v>185</v>
      </c>
      <c r="C47" s="92"/>
      <c r="D47" s="92">
        <f>D46</f>
        <v>4389459.9849999994</v>
      </c>
      <c r="E47" s="92"/>
      <c r="F47" s="92">
        <f>F46</f>
        <v>303539.72700000007</v>
      </c>
      <c r="G47" s="92"/>
      <c r="H47" s="92"/>
      <c r="I47" s="92">
        <f>I46</f>
        <v>276524.78500000003</v>
      </c>
      <c r="J47" s="93">
        <f t="shared" ref="J47" si="27">F47-I47</f>
        <v>27014.942000000039</v>
      </c>
      <c r="K47" s="94">
        <f t="shared" si="26"/>
        <v>109.76944688701234</v>
      </c>
      <c r="L47" s="92">
        <f>L46</f>
        <v>365788.3320833334</v>
      </c>
      <c r="M47" s="93">
        <f t="shared" ref="M47" si="28">F47-L47</f>
        <v>-62248.605083333328</v>
      </c>
      <c r="N47" s="94">
        <f t="shared" ref="N47" si="29">F47/L47*100</f>
        <v>82.982342621811142</v>
      </c>
      <c r="O47" s="94">
        <f t="shared" ref="O47" si="30">F47/D47*100</f>
        <v>6.9151952184842642</v>
      </c>
      <c r="P47" s="92">
        <f>P46-P7+P8</f>
        <v>247095.20539999995</v>
      </c>
      <c r="Q47" s="93">
        <f t="shared" si="5"/>
        <v>56444.521600000124</v>
      </c>
      <c r="R47" s="94">
        <f>F47/P47*100</f>
        <v>122.843228183496</v>
      </c>
      <c r="S47" s="96"/>
      <c r="T47" s="96"/>
      <c r="W47" s="96"/>
    </row>
    <row r="48" spans="1:25" s="10" customFormat="1" ht="36.75" hidden="1" customHeight="1" x14ac:dyDescent="0.25">
      <c r="A48" s="24">
        <v>1</v>
      </c>
      <c r="B48" s="64" t="s">
        <v>134</v>
      </c>
      <c r="C48" s="25" t="s">
        <v>57</v>
      </c>
      <c r="D48" s="138">
        <v>855684.1</v>
      </c>
      <c r="E48" s="138">
        <v>717803.4</v>
      </c>
      <c r="F48" s="129">
        <f t="shared" si="25"/>
        <v>65887.7</v>
      </c>
      <c r="G48" s="128">
        <v>65887.7</v>
      </c>
      <c r="H48" s="128"/>
      <c r="I48" s="128">
        <v>65887.7</v>
      </c>
      <c r="J48" s="131">
        <f t="shared" si="2"/>
        <v>0</v>
      </c>
      <c r="K48" s="132">
        <f t="shared" si="26"/>
        <v>100</v>
      </c>
      <c r="L48" s="128">
        <f>D48</f>
        <v>855684.1</v>
      </c>
      <c r="M48" s="131">
        <f t="shared" si="3"/>
        <v>-789796.4</v>
      </c>
      <c r="N48" s="132">
        <f t="shared" si="24"/>
        <v>7.7000028398330649</v>
      </c>
      <c r="O48" s="132">
        <f t="shared" si="11"/>
        <v>7.7000028398330649</v>
      </c>
      <c r="P48" s="129">
        <v>44804.3</v>
      </c>
      <c r="Q48" s="131">
        <f t="shared" si="5"/>
        <v>21083.399999999994</v>
      </c>
      <c r="R48" s="132">
        <f>F48/P48*100</f>
        <v>147.05664411674769</v>
      </c>
      <c r="S48" s="45"/>
      <c r="T48" s="45"/>
      <c r="U48" s="45"/>
      <c r="V48" s="47"/>
    </row>
    <row r="49" spans="1:22" s="10" customFormat="1" ht="58.5" hidden="1" x14ac:dyDescent="0.25">
      <c r="A49" s="24">
        <f>A48+1</f>
        <v>2</v>
      </c>
      <c r="B49" s="158" t="s">
        <v>135</v>
      </c>
      <c r="C49" s="161" t="s">
        <v>119</v>
      </c>
      <c r="D49" s="138">
        <v>29000</v>
      </c>
      <c r="E49" s="138">
        <v>0</v>
      </c>
      <c r="F49" s="129">
        <f t="shared" si="25"/>
        <v>2416.6999999999998</v>
      </c>
      <c r="G49" s="128">
        <v>2416.6999999999998</v>
      </c>
      <c r="H49" s="128"/>
      <c r="I49" s="128">
        <v>2416.6999999999998</v>
      </c>
      <c r="J49" s="131">
        <f t="shared" si="2"/>
        <v>0</v>
      </c>
      <c r="K49" s="132">
        <f t="shared" si="26"/>
        <v>100</v>
      </c>
      <c r="L49" s="128">
        <f t="shared" ref="L49:L52" si="31">D49</f>
        <v>29000</v>
      </c>
      <c r="M49" s="131">
        <f t="shared" si="3"/>
        <v>-26583.3</v>
      </c>
      <c r="N49" s="132">
        <f t="shared" si="24"/>
        <v>8.333448275862068</v>
      </c>
      <c r="O49" s="132">
        <f t="shared" si="11"/>
        <v>8.333448275862068</v>
      </c>
      <c r="P49" s="129">
        <v>0</v>
      </c>
      <c r="Q49" s="131">
        <f t="shared" si="5"/>
        <v>2416.6999999999998</v>
      </c>
      <c r="R49" s="132"/>
      <c r="S49" s="45"/>
      <c r="T49" s="45"/>
      <c r="U49" s="45"/>
      <c r="V49" s="47"/>
    </row>
    <row r="50" spans="1:22" s="10" customFormat="1" ht="54" hidden="1" customHeight="1" x14ac:dyDescent="0.25">
      <c r="A50" s="24">
        <f t="shared" ref="A50:A52" si="32">A49+1</f>
        <v>3</v>
      </c>
      <c r="B50" s="158" t="s">
        <v>138</v>
      </c>
      <c r="C50" s="161" t="s">
        <v>128</v>
      </c>
      <c r="D50" s="138">
        <v>16764.740000000002</v>
      </c>
      <c r="E50" s="138">
        <v>11474.77</v>
      </c>
      <c r="F50" s="129">
        <f t="shared" si="25"/>
        <v>1290.8869999999999</v>
      </c>
      <c r="G50" s="128">
        <v>1290.8869999999999</v>
      </c>
      <c r="H50" s="128"/>
      <c r="I50" s="130">
        <v>1290.8869999999999</v>
      </c>
      <c r="J50" s="131">
        <f t="shared" si="2"/>
        <v>0</v>
      </c>
      <c r="K50" s="132">
        <f t="shared" si="26"/>
        <v>100</v>
      </c>
      <c r="L50" s="128">
        <f t="shared" si="31"/>
        <v>16764.740000000002</v>
      </c>
      <c r="M50" s="131">
        <f t="shared" si="3"/>
        <v>-15473.853000000001</v>
      </c>
      <c r="N50" s="132">
        <f>F50/L50*100</f>
        <v>7.7000120490982846</v>
      </c>
      <c r="O50" s="132">
        <f t="shared" si="11"/>
        <v>7.7000120490982846</v>
      </c>
      <c r="P50" s="129">
        <v>716.24</v>
      </c>
      <c r="Q50" s="131">
        <f t="shared" si="5"/>
        <v>574.64699999999993</v>
      </c>
      <c r="R50" s="132">
        <f>F50/P50*100</f>
        <v>180.23106779850329</v>
      </c>
    </row>
    <row r="51" spans="1:22" s="10" customFormat="1" ht="39" hidden="1" x14ac:dyDescent="0.25">
      <c r="A51" s="24">
        <f t="shared" si="32"/>
        <v>4</v>
      </c>
      <c r="B51" s="158" t="s">
        <v>139</v>
      </c>
      <c r="C51" s="161">
        <v>41051200</v>
      </c>
      <c r="D51" s="138">
        <v>3718.5</v>
      </c>
      <c r="E51" s="138">
        <v>4100.6319999999996</v>
      </c>
      <c r="F51" s="129">
        <f t="shared" si="25"/>
        <v>82.944999999999993</v>
      </c>
      <c r="G51" s="128">
        <v>82.944999999999993</v>
      </c>
      <c r="H51" s="128"/>
      <c r="I51" s="130">
        <v>82.944999999999993</v>
      </c>
      <c r="J51" s="131">
        <f t="shared" si="2"/>
        <v>0</v>
      </c>
      <c r="K51" s="132">
        <f t="shared" si="26"/>
        <v>100</v>
      </c>
      <c r="L51" s="128">
        <f t="shared" si="31"/>
        <v>3718.5</v>
      </c>
      <c r="M51" s="131">
        <f t="shared" si="3"/>
        <v>-3635.5549999999998</v>
      </c>
      <c r="N51" s="132">
        <f>F51/L51*100</f>
        <v>2.2306037380664243</v>
      </c>
      <c r="O51" s="132">
        <f t="shared" si="11"/>
        <v>2.2306037380664243</v>
      </c>
      <c r="P51" s="129">
        <v>203.22900000000001</v>
      </c>
      <c r="Q51" s="131">
        <f t="shared" si="5"/>
        <v>-120.28400000000002</v>
      </c>
      <c r="R51" s="132">
        <f>F51/P51*100</f>
        <v>40.813564993185018</v>
      </c>
    </row>
    <row r="52" spans="1:22" s="10" customFormat="1" ht="39" hidden="1" x14ac:dyDescent="0.25">
      <c r="A52" s="24">
        <f t="shared" si="32"/>
        <v>5</v>
      </c>
      <c r="B52" s="163" t="s">
        <v>161</v>
      </c>
      <c r="C52" s="161" t="s">
        <v>137</v>
      </c>
      <c r="D52" s="138">
        <v>0</v>
      </c>
      <c r="E52" s="138">
        <v>7100</v>
      </c>
      <c r="F52" s="129">
        <f t="shared" si="25"/>
        <v>0</v>
      </c>
      <c r="G52" s="128">
        <v>0</v>
      </c>
      <c r="H52" s="128"/>
      <c r="I52" s="130">
        <v>0</v>
      </c>
      <c r="J52" s="131">
        <f t="shared" si="2"/>
        <v>0</v>
      </c>
      <c r="K52" s="132"/>
      <c r="L52" s="128">
        <f t="shared" si="31"/>
        <v>0</v>
      </c>
      <c r="M52" s="131">
        <f t="shared" si="3"/>
        <v>0</v>
      </c>
      <c r="N52" s="132"/>
      <c r="O52" s="132"/>
      <c r="P52" s="129">
        <v>1183.3330000000001</v>
      </c>
      <c r="Q52" s="131">
        <f t="shared" si="5"/>
        <v>-1183.3330000000001</v>
      </c>
      <c r="R52" s="132"/>
      <c r="S52" s="129"/>
      <c r="T52" s="129"/>
    </row>
    <row r="53" spans="1:22" s="10" customFormat="1" ht="23.25" hidden="1" x14ac:dyDescent="0.25">
      <c r="A53" s="24">
        <v>6</v>
      </c>
      <c r="B53" s="163" t="s">
        <v>136</v>
      </c>
      <c r="C53" s="161" t="s">
        <v>120</v>
      </c>
      <c r="D53" s="138">
        <f>SUM(D54:D57)</f>
        <v>4144</v>
      </c>
      <c r="E53" s="138">
        <f>SUM(E54:E57)</f>
        <v>3644</v>
      </c>
      <c r="F53" s="129">
        <f t="shared" si="25"/>
        <v>0</v>
      </c>
      <c r="G53" s="128">
        <f>SUM(G54:G57)</f>
        <v>0</v>
      </c>
      <c r="H53" s="128"/>
      <c r="I53" s="128">
        <f>SUM(I54:I57)</f>
        <v>201.601</v>
      </c>
      <c r="J53" s="131">
        <f t="shared" si="2"/>
        <v>-201.601</v>
      </c>
      <c r="K53" s="132">
        <f t="shared" ref="K53:K57" si="33">F53/I53*100</f>
        <v>0</v>
      </c>
      <c r="L53" s="128">
        <f t="shared" ref="L53" si="34">I53</f>
        <v>201.601</v>
      </c>
      <c r="M53" s="131">
        <f t="shared" si="3"/>
        <v>-201.601</v>
      </c>
      <c r="N53" s="132">
        <f t="shared" ref="N53:N57" si="35">F53/L53*100</f>
        <v>0</v>
      </c>
      <c r="O53" s="132">
        <f t="shared" si="11"/>
        <v>0</v>
      </c>
      <c r="P53" s="129">
        <f>SUM(P54:P57)</f>
        <v>0</v>
      </c>
      <c r="Q53" s="131">
        <f t="shared" si="5"/>
        <v>0</v>
      </c>
      <c r="R53" s="132"/>
      <c r="S53" s="129">
        <v>5098.8379999999997</v>
      </c>
      <c r="T53" s="129">
        <f>S53-P53</f>
        <v>5098.8379999999997</v>
      </c>
    </row>
    <row r="54" spans="1:22" s="44" customFormat="1" ht="53.25" hidden="1" customHeight="1" x14ac:dyDescent="0.25">
      <c r="A54" s="43" t="s">
        <v>141</v>
      </c>
      <c r="B54" s="159" t="s">
        <v>162</v>
      </c>
      <c r="C54" s="113"/>
      <c r="D54" s="139">
        <v>105</v>
      </c>
      <c r="E54" s="139">
        <v>105</v>
      </c>
      <c r="F54" s="134">
        <f t="shared" si="25"/>
        <v>0</v>
      </c>
      <c r="G54" s="133">
        <v>0</v>
      </c>
      <c r="H54" s="133"/>
      <c r="I54" s="135">
        <v>8.7520000000000007</v>
      </c>
      <c r="J54" s="136">
        <f t="shared" si="2"/>
        <v>-8.7520000000000007</v>
      </c>
      <c r="K54" s="137">
        <f t="shared" si="33"/>
        <v>0</v>
      </c>
      <c r="L54" s="133">
        <f t="shared" ref="L54:L57" si="36">D54</f>
        <v>105</v>
      </c>
      <c r="M54" s="136">
        <f t="shared" si="3"/>
        <v>-105</v>
      </c>
      <c r="N54" s="137">
        <f t="shared" si="35"/>
        <v>0</v>
      </c>
      <c r="O54" s="137">
        <f t="shared" si="11"/>
        <v>0</v>
      </c>
      <c r="P54" s="134">
        <v>0</v>
      </c>
      <c r="Q54" s="136">
        <f t="shared" si="5"/>
        <v>0</v>
      </c>
      <c r="R54" s="137"/>
    </row>
    <row r="55" spans="1:22" s="44" customFormat="1" ht="57.75" hidden="1" customHeight="1" x14ac:dyDescent="0.25">
      <c r="A55" s="43" t="s">
        <v>142</v>
      </c>
      <c r="B55" s="159" t="s">
        <v>163</v>
      </c>
      <c r="C55" s="113"/>
      <c r="D55" s="139">
        <v>1246.7</v>
      </c>
      <c r="E55" s="139">
        <v>1246.7</v>
      </c>
      <c r="F55" s="134">
        <f t="shared" si="25"/>
        <v>0</v>
      </c>
      <c r="G55" s="133">
        <v>0</v>
      </c>
      <c r="H55" s="133"/>
      <c r="I55" s="135">
        <v>15.337</v>
      </c>
      <c r="J55" s="136">
        <f t="shared" si="2"/>
        <v>-15.337</v>
      </c>
      <c r="K55" s="137">
        <f t="shared" si="33"/>
        <v>0</v>
      </c>
      <c r="L55" s="133">
        <f t="shared" si="36"/>
        <v>1246.7</v>
      </c>
      <c r="M55" s="136">
        <f t="shared" si="3"/>
        <v>-1246.7</v>
      </c>
      <c r="N55" s="137">
        <f t="shared" si="35"/>
        <v>0</v>
      </c>
      <c r="O55" s="137">
        <f t="shared" si="11"/>
        <v>0</v>
      </c>
      <c r="P55" s="134">
        <v>0</v>
      </c>
      <c r="Q55" s="136">
        <f t="shared" si="5"/>
        <v>0</v>
      </c>
      <c r="R55" s="137"/>
    </row>
    <row r="56" spans="1:22" s="44" customFormat="1" ht="76.5" hidden="1" customHeight="1" x14ac:dyDescent="0.25">
      <c r="A56" s="43" t="s">
        <v>143</v>
      </c>
      <c r="B56" s="159" t="s">
        <v>164</v>
      </c>
      <c r="C56" s="113"/>
      <c r="D56" s="139">
        <v>292.3</v>
      </c>
      <c r="E56" s="139">
        <v>292.3</v>
      </c>
      <c r="F56" s="134">
        <f t="shared" si="25"/>
        <v>0</v>
      </c>
      <c r="G56" s="133">
        <v>0</v>
      </c>
      <c r="H56" s="133"/>
      <c r="I56" s="135">
        <v>48.712000000000003</v>
      </c>
      <c r="J56" s="136">
        <f t="shared" si="2"/>
        <v>-48.712000000000003</v>
      </c>
      <c r="K56" s="137">
        <f t="shared" si="33"/>
        <v>0</v>
      </c>
      <c r="L56" s="133">
        <f t="shared" si="36"/>
        <v>292.3</v>
      </c>
      <c r="M56" s="136">
        <f t="shared" si="3"/>
        <v>-292.3</v>
      </c>
      <c r="N56" s="137">
        <f t="shared" si="35"/>
        <v>0</v>
      </c>
      <c r="O56" s="137">
        <f t="shared" si="11"/>
        <v>0</v>
      </c>
      <c r="P56" s="134">
        <v>0</v>
      </c>
      <c r="Q56" s="136">
        <f t="shared" si="5"/>
        <v>0</v>
      </c>
      <c r="R56" s="137"/>
    </row>
    <row r="57" spans="1:22" s="44" customFormat="1" ht="78.75" hidden="1" customHeight="1" x14ac:dyDescent="0.25">
      <c r="A57" s="43" t="s">
        <v>144</v>
      </c>
      <c r="B57" s="159" t="s">
        <v>165</v>
      </c>
      <c r="C57" s="113"/>
      <c r="D57" s="139">
        <v>2500</v>
      </c>
      <c r="E57" s="139">
        <v>2000</v>
      </c>
      <c r="F57" s="134">
        <f t="shared" si="25"/>
        <v>0</v>
      </c>
      <c r="G57" s="133">
        <v>0</v>
      </c>
      <c r="H57" s="133"/>
      <c r="I57" s="135">
        <v>128.80000000000001</v>
      </c>
      <c r="J57" s="136">
        <f t="shared" si="2"/>
        <v>-128.80000000000001</v>
      </c>
      <c r="K57" s="137">
        <f t="shared" si="33"/>
        <v>0</v>
      </c>
      <c r="L57" s="133">
        <f t="shared" si="36"/>
        <v>2500</v>
      </c>
      <c r="M57" s="136">
        <f t="shared" si="3"/>
        <v>-2500</v>
      </c>
      <c r="N57" s="137">
        <f t="shared" si="35"/>
        <v>0</v>
      </c>
      <c r="O57" s="137">
        <f t="shared" si="11"/>
        <v>0</v>
      </c>
      <c r="P57" s="134">
        <v>0</v>
      </c>
      <c r="Q57" s="136">
        <f t="shared" si="5"/>
        <v>0</v>
      </c>
      <c r="R57" s="137"/>
    </row>
    <row r="58" spans="1:22" s="10" customFormat="1" ht="23.25" hidden="1" customHeight="1" x14ac:dyDescent="0.25">
      <c r="A58" s="24"/>
      <c r="B58" s="162"/>
      <c r="C58" s="25"/>
      <c r="D58" s="138"/>
      <c r="E58" s="138"/>
      <c r="F58" s="129"/>
      <c r="G58" s="128"/>
      <c r="H58" s="128"/>
      <c r="I58" s="138"/>
      <c r="J58" s="131"/>
      <c r="K58" s="132"/>
      <c r="L58" s="138"/>
      <c r="M58" s="131"/>
      <c r="N58" s="132"/>
      <c r="O58" s="132" t="e">
        <f t="shared" si="11"/>
        <v>#DIV/0!</v>
      </c>
      <c r="P58" s="129"/>
      <c r="Q58" s="136"/>
      <c r="R58" s="132"/>
    </row>
    <row r="59" spans="1:22" s="51" customFormat="1" ht="32.25" hidden="1" customHeight="1" x14ac:dyDescent="0.3">
      <c r="A59" s="48"/>
      <c r="B59" s="52" t="s">
        <v>31</v>
      </c>
      <c r="C59" s="49"/>
      <c r="D59" s="50">
        <f>D62+D61</f>
        <v>909311.34</v>
      </c>
      <c r="E59" s="50" t="e">
        <f>E62+E61</f>
        <v>#REF!</v>
      </c>
      <c r="F59" s="50">
        <f>SUM(G59:G59)</f>
        <v>69678.231999999989</v>
      </c>
      <c r="G59" s="50">
        <f>G62+G61</f>
        <v>69678.231999999989</v>
      </c>
      <c r="H59" s="50"/>
      <c r="I59" s="50">
        <f>I62+I61</f>
        <v>69879.832999999999</v>
      </c>
      <c r="J59" s="93">
        <f>F59-I59</f>
        <v>-201.60100000000966</v>
      </c>
      <c r="K59" s="94">
        <f>F59/I59*100</f>
        <v>99.71150331741633</v>
      </c>
      <c r="L59" s="50">
        <f>L62+L61</f>
        <v>905368.94099999999</v>
      </c>
      <c r="M59" s="93">
        <f>F59-L59</f>
        <v>-835690.70900000003</v>
      </c>
      <c r="N59" s="94">
        <f>F59/L59*100</f>
        <v>7.6961146825998732</v>
      </c>
      <c r="O59" s="94">
        <f t="shared" si="11"/>
        <v>7.6627475029619658</v>
      </c>
      <c r="P59" s="50">
        <f>P62+P61</f>
        <v>46907.102000000006</v>
      </c>
      <c r="Q59" s="93">
        <f>F59-P59</f>
        <v>22771.129999999983</v>
      </c>
      <c r="R59" s="94">
        <f>F59/P59*100</f>
        <v>148.54516486650567</v>
      </c>
    </row>
    <row r="60" spans="1:22" s="13" customFormat="1" ht="23.25" hidden="1" x14ac:dyDescent="0.25">
      <c r="A60" s="12"/>
      <c r="B60" s="197" t="s">
        <v>106</v>
      </c>
      <c r="C60" s="11"/>
      <c r="D60" s="140"/>
      <c r="E60" s="140"/>
      <c r="F60" s="141"/>
      <c r="G60" s="140"/>
      <c r="H60" s="140"/>
      <c r="I60" s="140"/>
      <c r="J60" s="131"/>
      <c r="K60" s="132"/>
      <c r="L60" s="140"/>
      <c r="M60" s="98"/>
      <c r="N60" s="99"/>
      <c r="O60" s="99"/>
      <c r="P60" s="141"/>
      <c r="Q60" s="98"/>
      <c r="R60" s="99"/>
    </row>
    <row r="61" spans="1:22" s="13" customFormat="1" ht="39" hidden="1" customHeight="1" x14ac:dyDescent="0.25">
      <c r="A61" s="12"/>
      <c r="B61" s="186" t="s">
        <v>121</v>
      </c>
      <c r="C61" s="26"/>
      <c r="D61" s="59">
        <f>D49</f>
        <v>29000</v>
      </c>
      <c r="E61" s="59">
        <f>E49</f>
        <v>0</v>
      </c>
      <c r="F61" s="50">
        <f>SUM(G61:G61)</f>
        <v>2416.6999999999998</v>
      </c>
      <c r="G61" s="59">
        <f>G49</f>
        <v>2416.6999999999998</v>
      </c>
      <c r="H61" s="59"/>
      <c r="I61" s="59">
        <f>I49</f>
        <v>2416.6999999999998</v>
      </c>
      <c r="J61" s="98">
        <f>F61-I61</f>
        <v>0</v>
      </c>
      <c r="K61" s="99">
        <f>F61/I61*100</f>
        <v>100</v>
      </c>
      <c r="L61" s="59">
        <f>L49</f>
        <v>29000</v>
      </c>
      <c r="M61" s="98">
        <f>F61-L61</f>
        <v>-26583.3</v>
      </c>
      <c r="N61" s="99">
        <f>F61/L61*100</f>
        <v>8.333448275862068</v>
      </c>
      <c r="O61" s="99">
        <f t="shared" si="11"/>
        <v>8.333448275862068</v>
      </c>
      <c r="P61" s="50">
        <f>P49</f>
        <v>0</v>
      </c>
      <c r="Q61" s="98">
        <f>F61-P61</f>
        <v>2416.6999999999998</v>
      </c>
      <c r="R61" s="99"/>
    </row>
    <row r="62" spans="1:22" s="13" customFormat="1" ht="39" hidden="1" customHeight="1" x14ac:dyDescent="0.25">
      <c r="A62" s="12"/>
      <c r="B62" s="186" t="s">
        <v>78</v>
      </c>
      <c r="C62" s="26"/>
      <c r="D62" s="59">
        <f>D63+D64</f>
        <v>880311.34</v>
      </c>
      <c r="E62" s="59" t="e">
        <f>E63+E64</f>
        <v>#REF!</v>
      </c>
      <c r="F62" s="50">
        <f>SUM(G62:G62)</f>
        <v>67261.531999999992</v>
      </c>
      <c r="G62" s="59">
        <f>G63+G64</f>
        <v>67261.531999999992</v>
      </c>
      <c r="H62" s="59"/>
      <c r="I62" s="59">
        <f>I63+I64</f>
        <v>67463.133000000002</v>
      </c>
      <c r="J62" s="98">
        <f>F62-I62</f>
        <v>-201.60100000000966</v>
      </c>
      <c r="K62" s="99">
        <f>F62/I62*100</f>
        <v>99.701168636801953</v>
      </c>
      <c r="L62" s="59">
        <f>L63+L64</f>
        <v>876368.94099999999</v>
      </c>
      <c r="M62" s="98">
        <f>F62-L62</f>
        <v>-809107.40899999999</v>
      </c>
      <c r="N62" s="99">
        <f>F62/L62*100</f>
        <v>7.6750246218504445</v>
      </c>
      <c r="O62" s="99">
        <f t="shared" si="11"/>
        <v>7.6406526809026447</v>
      </c>
      <c r="P62" s="50">
        <f>P63+P64</f>
        <v>46907.102000000006</v>
      </c>
      <c r="Q62" s="98">
        <f>F62-P62</f>
        <v>20354.429999999986</v>
      </c>
      <c r="R62" s="99">
        <f>F62/P62*100</f>
        <v>143.39306657657082</v>
      </c>
    </row>
    <row r="63" spans="1:22" s="8" customFormat="1" ht="39" hidden="1" customHeight="1" x14ac:dyDescent="0.25">
      <c r="A63" s="14"/>
      <c r="B63" s="17" t="s">
        <v>110</v>
      </c>
      <c r="C63" s="17"/>
      <c r="D63" s="139">
        <f>D48</f>
        <v>855684.1</v>
      </c>
      <c r="E63" s="139" t="e">
        <f>E48+#REF!</f>
        <v>#REF!</v>
      </c>
      <c r="F63" s="142">
        <f>SUM(G63:G63)</f>
        <v>65887.7</v>
      </c>
      <c r="G63" s="139">
        <f t="shared" ref="G63:I63" si="37">G48</f>
        <v>65887.7</v>
      </c>
      <c r="H63" s="139"/>
      <c r="I63" s="139">
        <f t="shared" si="37"/>
        <v>65887.7</v>
      </c>
      <c r="J63" s="136">
        <f>F63-I63</f>
        <v>0</v>
      </c>
      <c r="K63" s="137">
        <f>F63/I63*100</f>
        <v>100</v>
      </c>
      <c r="L63" s="139">
        <f>L48</f>
        <v>855684.1</v>
      </c>
      <c r="M63" s="136">
        <f>F63-L63</f>
        <v>-789796.4</v>
      </c>
      <c r="N63" s="137">
        <f>F63/L63*100</f>
        <v>7.7000028398330649</v>
      </c>
      <c r="O63" s="137">
        <f t="shared" si="11"/>
        <v>7.7000028398330649</v>
      </c>
      <c r="P63" s="142">
        <f>P48</f>
        <v>44804.3</v>
      </c>
      <c r="Q63" s="136">
        <f>F63-P63</f>
        <v>21083.399999999994</v>
      </c>
      <c r="R63" s="137">
        <f>F63/P63*100</f>
        <v>147.05664411674769</v>
      </c>
    </row>
    <row r="64" spans="1:22" s="8" customFormat="1" ht="39" hidden="1" customHeight="1" x14ac:dyDescent="0.25">
      <c r="A64" s="14"/>
      <c r="B64" s="198" t="s">
        <v>109</v>
      </c>
      <c r="C64" s="17"/>
      <c r="D64" s="139">
        <f>D50+D53+D51+D52</f>
        <v>24627.24</v>
      </c>
      <c r="E64" s="139">
        <f>E50+E53+E51+E52</f>
        <v>26319.402000000002</v>
      </c>
      <c r="F64" s="142">
        <f>SUM(G64:G64)</f>
        <v>1373.8319999999999</v>
      </c>
      <c r="G64" s="139">
        <f>G50+G53+G51+G52</f>
        <v>1373.8319999999999</v>
      </c>
      <c r="H64" s="139"/>
      <c r="I64" s="139">
        <f>I50+I53+I51+I52</f>
        <v>1575.4329999999998</v>
      </c>
      <c r="J64" s="136">
        <f>F64-I64</f>
        <v>-201.60099999999989</v>
      </c>
      <c r="K64" s="137">
        <f>F64/I64*100</f>
        <v>87.20345454233852</v>
      </c>
      <c r="L64" s="139">
        <f>L50+L53+L51+L52</f>
        <v>20684.841</v>
      </c>
      <c r="M64" s="136">
        <f>F64-L64</f>
        <v>-19311.009000000002</v>
      </c>
      <c r="N64" s="137">
        <f>F64/L64*100</f>
        <v>6.6417334317435639</v>
      </c>
      <c r="O64" s="137">
        <f t="shared" si="11"/>
        <v>5.5785057521671115</v>
      </c>
      <c r="P64" s="142">
        <f>P50+P53+P51+P52</f>
        <v>2102.8020000000001</v>
      </c>
      <c r="Q64" s="136">
        <f>F64-P64</f>
        <v>-728.97000000000025</v>
      </c>
      <c r="R64" s="137">
        <f>F64/P64*100</f>
        <v>65.333398008942339</v>
      </c>
    </row>
    <row r="65" spans="1:23" s="8" customFormat="1" ht="23.25" hidden="1" x14ac:dyDescent="0.25">
      <c r="A65" s="14"/>
      <c r="B65" s="46"/>
      <c r="C65" s="17"/>
      <c r="D65" s="139"/>
      <c r="E65" s="139"/>
      <c r="F65" s="142"/>
      <c r="G65" s="139"/>
      <c r="H65" s="139"/>
      <c r="I65" s="139"/>
      <c r="J65" s="136"/>
      <c r="K65" s="137"/>
      <c r="L65" s="139"/>
      <c r="M65" s="136"/>
      <c r="N65" s="137"/>
      <c r="O65" s="137"/>
      <c r="P65" s="142"/>
      <c r="Q65" s="136"/>
      <c r="R65" s="137"/>
    </row>
    <row r="66" spans="1:23" s="174" customFormat="1" ht="36.75" hidden="1" customHeight="1" x14ac:dyDescent="0.3">
      <c r="A66" s="167"/>
      <c r="B66" s="168" t="s">
        <v>30</v>
      </c>
      <c r="C66" s="169"/>
      <c r="D66" s="170">
        <f>D59+D46</f>
        <v>5298771.3249999993</v>
      </c>
      <c r="E66" s="170" t="e">
        <f>E59+E46</f>
        <v>#REF!</v>
      </c>
      <c r="F66" s="170">
        <f>SUM(G66:G66)</f>
        <v>373217.95900000003</v>
      </c>
      <c r="G66" s="170">
        <f>G59+G46</f>
        <v>373217.95900000003</v>
      </c>
      <c r="H66" s="170"/>
      <c r="I66" s="170">
        <f>I59+I46</f>
        <v>346404.61800000002</v>
      </c>
      <c r="J66" s="171">
        <f>F66-I66</f>
        <v>26813.341000000015</v>
      </c>
      <c r="K66" s="172">
        <f>F66/I66*100</f>
        <v>107.74046869086487</v>
      </c>
      <c r="L66" s="170">
        <f>L59+L46</f>
        <v>1271157.2730833334</v>
      </c>
      <c r="M66" s="171">
        <f>F66-L66</f>
        <v>-897939.31408333336</v>
      </c>
      <c r="N66" s="172">
        <f>F66/L66*100</f>
        <v>29.360486456150177</v>
      </c>
      <c r="O66" s="172">
        <f t="shared" si="11"/>
        <v>7.0434811413568612</v>
      </c>
      <c r="P66" s="170">
        <f>P59+P46</f>
        <v>284202.34599999996</v>
      </c>
      <c r="Q66" s="171">
        <f>F66-P66</f>
        <v>89015.61300000007</v>
      </c>
      <c r="R66" s="172">
        <f>F66/P66*100</f>
        <v>131.32120978339853</v>
      </c>
      <c r="S66" s="170">
        <v>294949.55</v>
      </c>
      <c r="T66" s="173">
        <f>S66-P66</f>
        <v>10747.204000000027</v>
      </c>
      <c r="W66" s="173">
        <f>2708373.649-I66</f>
        <v>2361969.0310000004</v>
      </c>
    </row>
    <row r="67" spans="1:23" s="10" customFormat="1" ht="31.5" hidden="1" customHeight="1" x14ac:dyDescent="0.25">
      <c r="A67" s="238" t="s">
        <v>10</v>
      </c>
      <c r="B67" s="239"/>
      <c r="C67" s="239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40"/>
    </row>
    <row r="68" spans="1:23" s="65" customFormat="1" ht="28.5" hidden="1" customHeight="1" x14ac:dyDescent="0.3">
      <c r="A68" s="24">
        <v>1</v>
      </c>
      <c r="B68" s="64" t="s">
        <v>13</v>
      </c>
      <c r="C68" s="25" t="s">
        <v>22</v>
      </c>
      <c r="D68" s="138">
        <f>D69+D70</f>
        <v>94437.012000000002</v>
      </c>
      <c r="E68" s="138">
        <f t="shared" ref="E68:E110" si="38">D68</f>
        <v>94437.012000000002</v>
      </c>
      <c r="F68" s="129">
        <f t="shared" ref="F68:F81" si="39">SUM(G68:G68)</f>
        <v>6852.4160000000002</v>
      </c>
      <c r="G68" s="128">
        <f t="shared" ref="G68:I68" si="40">G69+G70</f>
        <v>6852.4160000000002</v>
      </c>
      <c r="H68" s="128"/>
      <c r="I68" s="130">
        <f t="shared" si="40"/>
        <v>7869.7510000000002</v>
      </c>
      <c r="J68" s="131">
        <f t="shared" ref="J68:J81" si="41">F68-I68</f>
        <v>-1017.335</v>
      </c>
      <c r="K68" s="132">
        <f>F68/I68*100</f>
        <v>87.072843854907219</v>
      </c>
      <c r="L68" s="131">
        <f t="shared" ref="L68" si="42">L69+L70</f>
        <v>7869.7510000000002</v>
      </c>
      <c r="M68" s="131">
        <f t="shared" ref="M68:M81" si="43">F68-L68</f>
        <v>-1017.335</v>
      </c>
      <c r="N68" s="132">
        <f>F68/L68*100</f>
        <v>87.072843854907219</v>
      </c>
      <c r="O68" s="132">
        <f t="shared" si="11"/>
        <v>7.2560703212422695</v>
      </c>
      <c r="P68" s="129">
        <f t="shared" ref="P68" si="44">P69+P70</f>
        <v>3860.3040000000001</v>
      </c>
      <c r="Q68" s="131">
        <f t="shared" ref="Q68:Q81" si="45">F68-P68</f>
        <v>2992.1120000000001</v>
      </c>
      <c r="R68" s="132">
        <f>F68/P68*100</f>
        <v>177.50975052741958</v>
      </c>
    </row>
    <row r="69" spans="1:23" s="68" customFormat="1" ht="39" hidden="1" x14ac:dyDescent="0.3">
      <c r="A69" s="43" t="s">
        <v>126</v>
      </c>
      <c r="B69" s="111" t="s">
        <v>122</v>
      </c>
      <c r="C69" s="17" t="s">
        <v>123</v>
      </c>
      <c r="D69" s="139">
        <v>94437.012000000002</v>
      </c>
      <c r="E69" s="139">
        <v>70446.198000000004</v>
      </c>
      <c r="F69" s="134">
        <f t="shared" si="39"/>
        <v>5371.9639999999999</v>
      </c>
      <c r="G69" s="133">
        <v>5371.9639999999999</v>
      </c>
      <c r="H69" s="133"/>
      <c r="I69" s="135">
        <v>7869.7510000000002</v>
      </c>
      <c r="J69" s="136">
        <f t="shared" si="41"/>
        <v>-2497.7870000000003</v>
      </c>
      <c r="K69" s="137">
        <f>F69/I69*100</f>
        <v>68.26091448128409</v>
      </c>
      <c r="L69" s="136">
        <f t="shared" ref="L69" si="46">D69/12*1</f>
        <v>7869.7510000000002</v>
      </c>
      <c r="M69" s="136">
        <f t="shared" si="43"/>
        <v>-2497.7870000000003</v>
      </c>
      <c r="N69" s="137">
        <f>F69/L69*100</f>
        <v>68.26091448128409</v>
      </c>
      <c r="O69" s="137">
        <f t="shared" si="11"/>
        <v>5.6884095401070072</v>
      </c>
      <c r="P69" s="134">
        <v>3552.8009999999999</v>
      </c>
      <c r="Q69" s="136">
        <f t="shared" si="45"/>
        <v>1819.163</v>
      </c>
      <c r="R69" s="137">
        <f>F69/P69*100</f>
        <v>151.20362778551345</v>
      </c>
    </row>
    <row r="70" spans="1:23" s="68" customFormat="1" ht="38.25" hidden="1" customHeight="1" x14ac:dyDescent="0.3">
      <c r="A70" s="43" t="s">
        <v>127</v>
      </c>
      <c r="B70" s="111" t="s">
        <v>124</v>
      </c>
      <c r="C70" s="17" t="s">
        <v>125</v>
      </c>
      <c r="D70" s="139">
        <v>0</v>
      </c>
      <c r="E70" s="139">
        <v>0</v>
      </c>
      <c r="F70" s="134">
        <f t="shared" si="39"/>
        <v>1480.452</v>
      </c>
      <c r="G70" s="133">
        <v>1480.452</v>
      </c>
      <c r="H70" s="133"/>
      <c r="I70" s="135">
        <v>0</v>
      </c>
      <c r="J70" s="136">
        <f t="shared" si="41"/>
        <v>1480.452</v>
      </c>
      <c r="K70" s="137"/>
      <c r="L70" s="136"/>
      <c r="M70" s="136">
        <f t="shared" si="43"/>
        <v>1480.452</v>
      </c>
      <c r="N70" s="137"/>
      <c r="O70" s="137"/>
      <c r="P70" s="134">
        <v>307.50299999999999</v>
      </c>
      <c r="Q70" s="136">
        <f t="shared" si="45"/>
        <v>1172.9490000000001</v>
      </c>
      <c r="R70" s="137">
        <f>F70/P70*100</f>
        <v>481.44310787211833</v>
      </c>
    </row>
    <row r="71" spans="1:23" s="65" customFormat="1" ht="47.25" hidden="1" customHeight="1" x14ac:dyDescent="0.3">
      <c r="A71" s="24">
        <v>2</v>
      </c>
      <c r="B71" s="126" t="s">
        <v>34</v>
      </c>
      <c r="C71" s="25" t="s">
        <v>33</v>
      </c>
      <c r="D71" s="138">
        <v>2313.6999999999998</v>
      </c>
      <c r="E71" s="138">
        <v>2267.6</v>
      </c>
      <c r="F71" s="129">
        <f t="shared" si="39"/>
        <v>12.451000000000001</v>
      </c>
      <c r="G71" s="128">
        <v>12.451000000000001</v>
      </c>
      <c r="H71" s="128"/>
      <c r="I71" s="130">
        <v>10.858000000000001</v>
      </c>
      <c r="J71" s="131">
        <f t="shared" si="41"/>
        <v>1.593</v>
      </c>
      <c r="K71" s="132">
        <f>F71/I71*100</f>
        <v>114.67121016761834</v>
      </c>
      <c r="L71" s="131">
        <f t="shared" ref="L71:L74" si="47">D71/12*1</f>
        <v>192.80833333333331</v>
      </c>
      <c r="M71" s="131">
        <f t="shared" si="43"/>
        <v>-180.35733333333332</v>
      </c>
      <c r="N71" s="132">
        <f t="shared" ref="N71:N76" si="48">F71/L71*100</f>
        <v>6.4577084323810361</v>
      </c>
      <c r="O71" s="132">
        <f t="shared" si="11"/>
        <v>0.5381423693650863</v>
      </c>
      <c r="P71" s="129">
        <v>68.400999999999996</v>
      </c>
      <c r="Q71" s="131">
        <f t="shared" si="45"/>
        <v>-55.949999999999996</v>
      </c>
      <c r="R71" s="132">
        <f>F71/P71*100</f>
        <v>18.202950249265363</v>
      </c>
    </row>
    <row r="72" spans="1:23" s="65" customFormat="1" ht="39" hidden="1" x14ac:dyDescent="0.3">
      <c r="A72" s="24">
        <f t="shared" ref="A72:A75" si="49">A71+1</f>
        <v>3</v>
      </c>
      <c r="B72" s="126" t="s">
        <v>92</v>
      </c>
      <c r="C72" s="25">
        <v>21110000</v>
      </c>
      <c r="D72" s="138">
        <v>110</v>
      </c>
      <c r="E72" s="138">
        <v>160</v>
      </c>
      <c r="F72" s="129">
        <f t="shared" si="39"/>
        <v>0</v>
      </c>
      <c r="G72" s="128">
        <v>0</v>
      </c>
      <c r="H72" s="128"/>
      <c r="I72" s="130">
        <v>0</v>
      </c>
      <c r="J72" s="131">
        <f t="shared" si="41"/>
        <v>0</v>
      </c>
      <c r="K72" s="132"/>
      <c r="L72" s="131">
        <f t="shared" si="47"/>
        <v>9.1666666666666661</v>
      </c>
      <c r="M72" s="131">
        <f t="shared" si="43"/>
        <v>-9.1666666666666661</v>
      </c>
      <c r="N72" s="132">
        <f t="shared" si="48"/>
        <v>0</v>
      </c>
      <c r="O72" s="132">
        <f t="shared" si="11"/>
        <v>0</v>
      </c>
      <c r="P72" s="129">
        <v>0</v>
      </c>
      <c r="Q72" s="131">
        <f t="shared" si="45"/>
        <v>0</v>
      </c>
      <c r="R72" s="132"/>
    </row>
    <row r="73" spans="1:23" s="65" customFormat="1" ht="39" hidden="1" x14ac:dyDescent="0.3">
      <c r="A73" s="24">
        <f t="shared" si="49"/>
        <v>4</v>
      </c>
      <c r="B73" s="64" t="s">
        <v>27</v>
      </c>
      <c r="C73" s="25" t="s">
        <v>26</v>
      </c>
      <c r="D73" s="138">
        <v>20</v>
      </c>
      <c r="E73" s="138">
        <v>15.7</v>
      </c>
      <c r="F73" s="129">
        <f t="shared" si="39"/>
        <v>11.72</v>
      </c>
      <c r="G73" s="128">
        <v>11.72</v>
      </c>
      <c r="H73" s="128"/>
      <c r="I73" s="130">
        <v>11.72</v>
      </c>
      <c r="J73" s="131">
        <f t="shared" si="41"/>
        <v>0</v>
      </c>
      <c r="K73" s="132">
        <f>F73/I73*100</f>
        <v>100</v>
      </c>
      <c r="L73" s="131">
        <f t="shared" si="47"/>
        <v>1.6666666666666667</v>
      </c>
      <c r="M73" s="131">
        <f t="shared" si="43"/>
        <v>10.053333333333335</v>
      </c>
      <c r="N73" s="132">
        <f t="shared" si="48"/>
        <v>703.2</v>
      </c>
      <c r="O73" s="132">
        <f t="shared" si="11"/>
        <v>58.600000000000009</v>
      </c>
      <c r="P73" s="129">
        <v>36.722999999999999</v>
      </c>
      <c r="Q73" s="131">
        <f t="shared" si="45"/>
        <v>-25.003</v>
      </c>
      <c r="R73" s="132">
        <f>F73/P73*100</f>
        <v>31.914603926694447</v>
      </c>
    </row>
    <row r="74" spans="1:23" s="65" customFormat="1" ht="42" hidden="1" customHeight="1" x14ac:dyDescent="0.3">
      <c r="A74" s="24">
        <f t="shared" si="49"/>
        <v>5</v>
      </c>
      <c r="B74" s="64" t="s">
        <v>71</v>
      </c>
      <c r="C74" s="25" t="s">
        <v>72</v>
      </c>
      <c r="D74" s="138">
        <v>0</v>
      </c>
      <c r="E74" s="138">
        <v>0.4</v>
      </c>
      <c r="F74" s="129">
        <f t="shared" si="39"/>
        <v>0</v>
      </c>
      <c r="G74" s="128">
        <v>0</v>
      </c>
      <c r="H74" s="128"/>
      <c r="I74" s="130">
        <v>0</v>
      </c>
      <c r="J74" s="131">
        <f t="shared" si="41"/>
        <v>0</v>
      </c>
      <c r="K74" s="132"/>
      <c r="L74" s="131">
        <f t="shared" si="47"/>
        <v>0</v>
      </c>
      <c r="M74" s="131">
        <f t="shared" si="43"/>
        <v>0</v>
      </c>
      <c r="N74" s="132"/>
      <c r="O74" s="132"/>
      <c r="P74" s="129">
        <v>3.5000000000000003E-2</v>
      </c>
      <c r="Q74" s="131">
        <f t="shared" si="45"/>
        <v>-3.5000000000000003E-2</v>
      </c>
      <c r="R74" s="132"/>
    </row>
    <row r="75" spans="1:23" s="32" customFormat="1" ht="41.25" hidden="1" customHeight="1" x14ac:dyDescent="0.3">
      <c r="A75" s="12">
        <f t="shared" si="49"/>
        <v>6</v>
      </c>
      <c r="B75" s="16" t="s">
        <v>11</v>
      </c>
      <c r="C75" s="9"/>
      <c r="D75" s="59">
        <f>SUM(D76:D79)</f>
        <v>69003.199999999997</v>
      </c>
      <c r="E75" s="59">
        <f>SUM(E76:E79)</f>
        <v>90003.199999999997</v>
      </c>
      <c r="F75" s="50">
        <f t="shared" si="39"/>
        <v>7157.3879999999999</v>
      </c>
      <c r="G75" s="59">
        <f>SUM(G76:G79)</f>
        <v>7157.3879999999999</v>
      </c>
      <c r="H75" s="59"/>
      <c r="I75" s="59">
        <f>SUM(I76:I79)</f>
        <v>6844.9</v>
      </c>
      <c r="J75" s="59">
        <f t="shared" si="41"/>
        <v>312.48800000000028</v>
      </c>
      <c r="K75" s="99">
        <f>F75/I75*100</f>
        <v>104.56526757147657</v>
      </c>
      <c r="L75" s="59">
        <f>SUM(L76:L79)</f>
        <v>5750.2666666666664</v>
      </c>
      <c r="M75" s="98">
        <f t="shared" si="43"/>
        <v>1407.1213333333335</v>
      </c>
      <c r="N75" s="99">
        <f t="shared" si="48"/>
        <v>124.47054049667263</v>
      </c>
      <c r="O75" s="99">
        <f t="shared" ref="O75:O110" si="50">F75/D75*100</f>
        <v>10.372545041389385</v>
      </c>
      <c r="P75" s="50">
        <f>SUM(P76:P79)</f>
        <v>8655.4589999999989</v>
      </c>
      <c r="Q75" s="98">
        <f t="shared" si="45"/>
        <v>-1498.070999999999</v>
      </c>
      <c r="R75" s="99">
        <f>F75/P75*100</f>
        <v>82.692183048871243</v>
      </c>
      <c r="S75" s="66"/>
    </row>
    <row r="76" spans="1:23" s="68" customFormat="1" ht="54" hidden="1" customHeight="1" x14ac:dyDescent="0.3">
      <c r="A76" s="14" t="s">
        <v>141</v>
      </c>
      <c r="B76" s="111" t="s">
        <v>150</v>
      </c>
      <c r="C76" s="17" t="s">
        <v>66</v>
      </c>
      <c r="D76" s="139">
        <v>3.2</v>
      </c>
      <c r="E76" s="139">
        <v>3.2</v>
      </c>
      <c r="F76" s="134">
        <f t="shared" si="39"/>
        <v>0</v>
      </c>
      <c r="G76" s="133">
        <v>0</v>
      </c>
      <c r="H76" s="133"/>
      <c r="I76" s="135">
        <v>0</v>
      </c>
      <c r="J76" s="136">
        <f t="shared" si="41"/>
        <v>0</v>
      </c>
      <c r="K76" s="137"/>
      <c r="L76" s="136">
        <f t="shared" ref="L76:L80" si="51">D76/12*1</f>
        <v>0.26666666666666666</v>
      </c>
      <c r="M76" s="136">
        <f t="shared" si="43"/>
        <v>-0.26666666666666666</v>
      </c>
      <c r="N76" s="137">
        <f t="shared" si="48"/>
        <v>0</v>
      </c>
      <c r="O76" s="137">
        <f t="shared" si="50"/>
        <v>0</v>
      </c>
      <c r="P76" s="134">
        <v>0</v>
      </c>
      <c r="Q76" s="136">
        <f t="shared" si="45"/>
        <v>0</v>
      </c>
      <c r="R76" s="137"/>
    </row>
    <row r="77" spans="1:23" s="68" customFormat="1" ht="46.5" hidden="1" customHeight="1" x14ac:dyDescent="0.3">
      <c r="A77" s="14" t="s">
        <v>142</v>
      </c>
      <c r="B77" s="111" t="s">
        <v>180</v>
      </c>
      <c r="C77" s="17" t="s">
        <v>47</v>
      </c>
      <c r="D77" s="139">
        <v>0</v>
      </c>
      <c r="E77" s="139">
        <v>0</v>
      </c>
      <c r="F77" s="134">
        <f t="shared" si="39"/>
        <v>12.75</v>
      </c>
      <c r="G77" s="133">
        <v>12.75</v>
      </c>
      <c r="H77" s="133"/>
      <c r="I77" s="135">
        <v>0</v>
      </c>
      <c r="J77" s="136">
        <f t="shared" si="41"/>
        <v>12.75</v>
      </c>
      <c r="K77" s="137"/>
      <c r="L77" s="136">
        <f t="shared" si="51"/>
        <v>0</v>
      </c>
      <c r="M77" s="136">
        <f t="shared" si="43"/>
        <v>12.75</v>
      </c>
      <c r="N77" s="137"/>
      <c r="O77" s="137"/>
      <c r="P77" s="134">
        <v>6037.933</v>
      </c>
      <c r="Q77" s="136">
        <f t="shared" si="45"/>
        <v>-6025.183</v>
      </c>
      <c r="R77" s="137">
        <f>F77/P77*100</f>
        <v>0.21116497980351884</v>
      </c>
    </row>
    <row r="78" spans="1:23" s="68" customFormat="1" ht="36.75" hidden="1" customHeight="1" x14ac:dyDescent="0.3">
      <c r="A78" s="14" t="s">
        <v>143</v>
      </c>
      <c r="B78" s="111" t="s">
        <v>39</v>
      </c>
      <c r="C78" s="17" t="s">
        <v>23</v>
      </c>
      <c r="D78" s="139">
        <v>19000</v>
      </c>
      <c r="E78" s="139">
        <v>20000</v>
      </c>
      <c r="F78" s="134">
        <f t="shared" si="39"/>
        <v>3.9</v>
      </c>
      <c r="G78" s="133">
        <v>3.9</v>
      </c>
      <c r="H78" s="133"/>
      <c r="I78" s="135">
        <v>3.9</v>
      </c>
      <c r="J78" s="136">
        <f t="shared" si="41"/>
        <v>0</v>
      </c>
      <c r="K78" s="137">
        <f>F78/I78*100</f>
        <v>100</v>
      </c>
      <c r="L78" s="136">
        <f t="shared" si="51"/>
        <v>1583.3333333333333</v>
      </c>
      <c r="M78" s="136">
        <f t="shared" si="43"/>
        <v>-1579.4333333333332</v>
      </c>
      <c r="N78" s="137">
        <f>F78/L78*100</f>
        <v>0.24631578947368421</v>
      </c>
      <c r="O78" s="137">
        <f t="shared" si="50"/>
        <v>2.0526315789473684E-2</v>
      </c>
      <c r="P78" s="134">
        <v>0</v>
      </c>
      <c r="Q78" s="136">
        <f t="shared" si="45"/>
        <v>3.9</v>
      </c>
      <c r="R78" s="137"/>
    </row>
    <row r="79" spans="1:23" s="67" customFormat="1" ht="40.5" hidden="1" customHeight="1" x14ac:dyDescent="0.3">
      <c r="A79" s="14" t="s">
        <v>144</v>
      </c>
      <c r="B79" s="46" t="s">
        <v>73</v>
      </c>
      <c r="C79" s="17" t="s">
        <v>45</v>
      </c>
      <c r="D79" s="139">
        <v>50000</v>
      </c>
      <c r="E79" s="139">
        <v>70000</v>
      </c>
      <c r="F79" s="142">
        <f t="shared" si="39"/>
        <v>7140.7380000000003</v>
      </c>
      <c r="G79" s="139">
        <v>7140.7380000000003</v>
      </c>
      <c r="H79" s="139"/>
      <c r="I79" s="139">
        <v>6841</v>
      </c>
      <c r="J79" s="136">
        <f t="shared" si="41"/>
        <v>299.73800000000028</v>
      </c>
      <c r="K79" s="137">
        <f>F79/I79*100</f>
        <v>104.38149393363543</v>
      </c>
      <c r="L79" s="136">
        <f t="shared" si="51"/>
        <v>4166.666666666667</v>
      </c>
      <c r="M79" s="136">
        <f t="shared" si="43"/>
        <v>2974.0713333333333</v>
      </c>
      <c r="N79" s="137">
        <f>F79/L79*100</f>
        <v>171.377712</v>
      </c>
      <c r="O79" s="137">
        <f t="shared" si="50"/>
        <v>14.281476000000001</v>
      </c>
      <c r="P79" s="142">
        <v>2617.5259999999998</v>
      </c>
      <c r="Q79" s="136">
        <f t="shared" si="45"/>
        <v>4523.2120000000004</v>
      </c>
      <c r="R79" s="137">
        <f>F79/P79*100</f>
        <v>272.80485466046952</v>
      </c>
    </row>
    <row r="80" spans="1:23" s="65" customFormat="1" ht="40.5" hidden="1" customHeight="1" x14ac:dyDescent="0.3">
      <c r="A80" s="24">
        <v>7</v>
      </c>
      <c r="B80" s="126" t="s">
        <v>12</v>
      </c>
      <c r="C80" s="25" t="s">
        <v>24</v>
      </c>
      <c r="D80" s="138">
        <v>6090</v>
      </c>
      <c r="E80" s="138">
        <v>6000</v>
      </c>
      <c r="F80" s="129">
        <f t="shared" si="39"/>
        <v>783.11300000000006</v>
      </c>
      <c r="G80" s="128">
        <v>783.11300000000006</v>
      </c>
      <c r="H80" s="128"/>
      <c r="I80" s="130">
        <v>728</v>
      </c>
      <c r="J80" s="131">
        <f t="shared" si="41"/>
        <v>55.113000000000056</v>
      </c>
      <c r="K80" s="132">
        <f>F80/I80*100</f>
        <v>107.57046703296704</v>
      </c>
      <c r="L80" s="136">
        <f t="shared" si="51"/>
        <v>507.5</v>
      </c>
      <c r="M80" s="131">
        <f t="shared" si="43"/>
        <v>275.61300000000006</v>
      </c>
      <c r="N80" s="132">
        <f>F80/L80*100</f>
        <v>154.30798029556652</v>
      </c>
      <c r="O80" s="132">
        <f t="shared" si="50"/>
        <v>12.858998357963877</v>
      </c>
      <c r="P80" s="129">
        <v>431.85300000000001</v>
      </c>
      <c r="Q80" s="131">
        <f t="shared" si="45"/>
        <v>351.26000000000005</v>
      </c>
      <c r="R80" s="132">
        <f>F80/P80*100</f>
        <v>181.33786265233772</v>
      </c>
    </row>
    <row r="81" spans="1:20" s="55" customFormat="1" ht="35.25" hidden="1" customHeight="1" x14ac:dyDescent="0.3">
      <c r="A81" s="53"/>
      <c r="B81" s="91" t="s">
        <v>9</v>
      </c>
      <c r="C81" s="54"/>
      <c r="D81" s="50">
        <f>D68+D71+D73+D74+D76+D77+D78+D79+D80+D72</f>
        <v>171973.91200000001</v>
      </c>
      <c r="E81" s="50">
        <f>E68+E71+E73+E74+E76+E77+E78+E79+E80+E72</f>
        <v>192883.91200000001</v>
      </c>
      <c r="F81" s="50">
        <f t="shared" si="39"/>
        <v>14817.088</v>
      </c>
      <c r="G81" s="50">
        <f>G68+G71+G73+G74+G76+G77+G78+G79+G80+G72</f>
        <v>14817.088</v>
      </c>
      <c r="H81" s="50"/>
      <c r="I81" s="50">
        <f>I68+I71+I73+I74+I76+I77+I78+I79+I80+I72</f>
        <v>15465.228999999999</v>
      </c>
      <c r="J81" s="93">
        <f t="shared" si="41"/>
        <v>-648.14099999999962</v>
      </c>
      <c r="K81" s="94">
        <f>F81/I81*100</f>
        <v>95.809043629421851</v>
      </c>
      <c r="L81" s="93">
        <f>L68+L71+L73+L74+L76+L77+L78+L79+L80+L72</f>
        <v>14331.159333333335</v>
      </c>
      <c r="M81" s="93">
        <f t="shared" si="43"/>
        <v>485.92866666666487</v>
      </c>
      <c r="N81" s="94">
        <f>F81/L81*100</f>
        <v>103.39071428461777</v>
      </c>
      <c r="O81" s="94">
        <f t="shared" si="50"/>
        <v>8.6158928570514792</v>
      </c>
      <c r="P81" s="50">
        <f>P68+P71+P73+P74+P76+P77+P78+P79+P80+P72</f>
        <v>13052.775</v>
      </c>
      <c r="Q81" s="93">
        <f t="shared" si="45"/>
        <v>1764.3130000000001</v>
      </c>
      <c r="R81" s="94">
        <f>F81/P81*100</f>
        <v>113.51676559199097</v>
      </c>
    </row>
    <row r="82" spans="1:20" s="71" customFormat="1" ht="22.5" hidden="1" x14ac:dyDescent="0.3">
      <c r="A82" s="70"/>
      <c r="B82" s="97"/>
      <c r="C82" s="58"/>
      <c r="D82" s="59"/>
      <c r="E82" s="59"/>
      <c r="F82" s="50"/>
      <c r="G82" s="59"/>
      <c r="H82" s="59"/>
      <c r="I82" s="59"/>
      <c r="J82" s="98"/>
      <c r="K82" s="99"/>
      <c r="L82" s="98"/>
      <c r="M82" s="98"/>
      <c r="N82" s="99"/>
      <c r="O82" s="99"/>
      <c r="P82" s="50"/>
      <c r="Q82" s="98"/>
      <c r="R82" s="99"/>
    </row>
    <row r="83" spans="1:20" s="71" customFormat="1" ht="45" hidden="1" x14ac:dyDescent="0.3">
      <c r="A83" s="70"/>
      <c r="B83" s="97" t="s">
        <v>69</v>
      </c>
      <c r="C83" s="58"/>
      <c r="D83" s="59">
        <f>D81-D68</f>
        <v>77536.900000000009</v>
      </c>
      <c r="E83" s="59">
        <f>E81-E68</f>
        <v>98446.900000000009</v>
      </c>
      <c r="F83" s="50">
        <f>SUM(G83:G83)</f>
        <v>7964.6719999999996</v>
      </c>
      <c r="G83" s="59">
        <f>G81-G68</f>
        <v>7964.6719999999996</v>
      </c>
      <c r="H83" s="59"/>
      <c r="I83" s="59">
        <f>I81-I68</f>
        <v>7595.4779999999992</v>
      </c>
      <c r="J83" s="98">
        <f>F83-I83</f>
        <v>369.19400000000041</v>
      </c>
      <c r="K83" s="99">
        <f>F83/I83*100</f>
        <v>104.86070791068055</v>
      </c>
      <c r="L83" s="59">
        <f>L81-L68</f>
        <v>6461.4083333333347</v>
      </c>
      <c r="M83" s="98">
        <f>F83-L83</f>
        <v>1503.2636666666649</v>
      </c>
      <c r="N83" s="99">
        <f>F83/L83*100</f>
        <v>123.26526337782396</v>
      </c>
      <c r="O83" s="99">
        <f t="shared" si="50"/>
        <v>10.272105281485331</v>
      </c>
      <c r="P83" s="50">
        <f>P81-P68</f>
        <v>9192.4709999999995</v>
      </c>
      <c r="Q83" s="98">
        <f>F83-P83</f>
        <v>-1227.799</v>
      </c>
      <c r="R83" s="99">
        <f>F83/P83*100</f>
        <v>86.643428083700229</v>
      </c>
    </row>
    <row r="84" spans="1:20" s="71" customFormat="1" ht="22.5" hidden="1" x14ac:dyDescent="0.3">
      <c r="A84" s="70"/>
      <c r="B84" s="165"/>
      <c r="C84" s="58"/>
      <c r="D84" s="59"/>
      <c r="E84" s="59"/>
      <c r="F84" s="50"/>
      <c r="G84" s="59"/>
      <c r="H84" s="59"/>
      <c r="I84" s="59"/>
      <c r="J84" s="98"/>
      <c r="K84" s="99"/>
      <c r="L84" s="98"/>
      <c r="M84" s="98"/>
      <c r="N84" s="99"/>
      <c r="O84" s="99"/>
      <c r="P84" s="50"/>
      <c r="Q84" s="98"/>
      <c r="R84" s="99"/>
    </row>
    <row r="85" spans="1:20" s="27" customFormat="1" ht="90.75" hidden="1" customHeight="1" x14ac:dyDescent="0.25">
      <c r="A85" s="24">
        <v>1</v>
      </c>
      <c r="B85" s="64" t="s">
        <v>140</v>
      </c>
      <c r="C85" s="25" t="s">
        <v>77</v>
      </c>
      <c r="D85" s="138">
        <v>22916.2</v>
      </c>
      <c r="E85" s="138">
        <v>120420</v>
      </c>
      <c r="F85" s="143">
        <f>SUM(G85:G85)</f>
        <v>0</v>
      </c>
      <c r="G85" s="138">
        <v>0</v>
      </c>
      <c r="H85" s="138"/>
      <c r="I85" s="138">
        <v>1000</v>
      </c>
      <c r="J85" s="131">
        <f>F85-I85</f>
        <v>-1000</v>
      </c>
      <c r="K85" s="144"/>
      <c r="L85" s="138">
        <f>D85</f>
        <v>22916.2</v>
      </c>
      <c r="M85" s="131">
        <f>F85-L85</f>
        <v>-22916.2</v>
      </c>
      <c r="N85" s="144">
        <f>F85/L85*100</f>
        <v>0</v>
      </c>
      <c r="O85" s="144">
        <f t="shared" si="50"/>
        <v>0</v>
      </c>
      <c r="P85" s="143">
        <v>0</v>
      </c>
      <c r="Q85" s="131">
        <f>F85-P85</f>
        <v>0</v>
      </c>
      <c r="R85" s="132"/>
    </row>
    <row r="86" spans="1:20" s="36" customFormat="1" ht="22.5" hidden="1" x14ac:dyDescent="0.25">
      <c r="A86" s="35"/>
      <c r="B86" s="100"/>
      <c r="C86" s="26"/>
      <c r="D86" s="59"/>
      <c r="E86" s="59"/>
      <c r="F86" s="50"/>
      <c r="G86" s="59"/>
      <c r="H86" s="59"/>
      <c r="I86" s="59"/>
      <c r="J86" s="98"/>
      <c r="K86" s="99"/>
      <c r="L86" s="98"/>
      <c r="M86" s="98"/>
      <c r="N86" s="99"/>
      <c r="O86" s="99"/>
      <c r="P86" s="50"/>
      <c r="Q86" s="98"/>
      <c r="R86" s="99"/>
    </row>
    <row r="87" spans="1:20" s="51" customFormat="1" ht="37.5" hidden="1" customHeight="1" x14ac:dyDescent="0.3">
      <c r="A87" s="48"/>
      <c r="B87" s="52" t="s">
        <v>29</v>
      </c>
      <c r="C87" s="54"/>
      <c r="D87" s="50">
        <f>D88+D89</f>
        <v>22916.2</v>
      </c>
      <c r="E87" s="50">
        <f>E88+E89</f>
        <v>120420</v>
      </c>
      <c r="F87" s="50">
        <f>SUM(G87:G87)</f>
        <v>0</v>
      </c>
      <c r="G87" s="50">
        <f>G88+G89</f>
        <v>0</v>
      </c>
      <c r="H87" s="50"/>
      <c r="I87" s="50">
        <f>I88+I89</f>
        <v>1000</v>
      </c>
      <c r="J87" s="93">
        <f>F87-I87</f>
        <v>-1000</v>
      </c>
      <c r="K87" s="94">
        <f>F87/I87*100</f>
        <v>0</v>
      </c>
      <c r="L87" s="50">
        <f>L88+L89</f>
        <v>22916.2</v>
      </c>
      <c r="M87" s="93">
        <f>F87-L87</f>
        <v>-22916.2</v>
      </c>
      <c r="N87" s="94">
        <f>F87/L87*100</f>
        <v>0</v>
      </c>
      <c r="O87" s="94">
        <f t="shared" si="50"/>
        <v>0</v>
      </c>
      <c r="P87" s="50">
        <f>P88+P89</f>
        <v>0</v>
      </c>
      <c r="Q87" s="93">
        <f>F87-P87</f>
        <v>0</v>
      </c>
      <c r="R87" s="94"/>
    </row>
    <row r="88" spans="1:20" s="8" customFormat="1" ht="37.5" hidden="1" customHeight="1" x14ac:dyDescent="0.25">
      <c r="A88" s="14"/>
      <c r="B88" s="17" t="s">
        <v>110</v>
      </c>
      <c r="C88" s="17"/>
      <c r="D88" s="139">
        <f>D85</f>
        <v>22916.2</v>
      </c>
      <c r="E88" s="139">
        <f>E85</f>
        <v>120420</v>
      </c>
      <c r="F88" s="142">
        <f>SUM(G88:G88)</f>
        <v>0</v>
      </c>
      <c r="G88" s="139">
        <f>G85</f>
        <v>0</v>
      </c>
      <c r="H88" s="139"/>
      <c r="I88" s="139">
        <f>I85</f>
        <v>1000</v>
      </c>
      <c r="J88" s="136">
        <f>F88-I88</f>
        <v>-1000</v>
      </c>
      <c r="K88" s="137"/>
      <c r="L88" s="139">
        <f>L85</f>
        <v>22916.2</v>
      </c>
      <c r="M88" s="136">
        <f>F88-L88</f>
        <v>-22916.2</v>
      </c>
      <c r="N88" s="137">
        <f>F88/L88*100</f>
        <v>0</v>
      </c>
      <c r="O88" s="137">
        <f t="shared" si="50"/>
        <v>0</v>
      </c>
      <c r="P88" s="142">
        <f>P85</f>
        <v>0</v>
      </c>
      <c r="Q88" s="136">
        <f>F88-P88</f>
        <v>0</v>
      </c>
      <c r="R88" s="137"/>
    </row>
    <row r="89" spans="1:20" s="8" customFormat="1" ht="37.5" hidden="1" customHeight="1" x14ac:dyDescent="0.25">
      <c r="A89" s="14"/>
      <c r="B89" s="198" t="s">
        <v>109</v>
      </c>
      <c r="C89" s="17"/>
      <c r="D89" s="139">
        <v>0</v>
      </c>
      <c r="E89" s="139">
        <v>0</v>
      </c>
      <c r="F89" s="142">
        <f>SUM(G89:G89)</f>
        <v>0</v>
      </c>
      <c r="G89" s="139">
        <v>0</v>
      </c>
      <c r="H89" s="139"/>
      <c r="I89" s="139">
        <v>0</v>
      </c>
      <c r="J89" s="136">
        <f>F89-I89</f>
        <v>0</v>
      </c>
      <c r="K89" s="137"/>
      <c r="L89" s="139">
        <v>0</v>
      </c>
      <c r="M89" s="136">
        <f>F89-L89</f>
        <v>0</v>
      </c>
      <c r="N89" s="137"/>
      <c r="O89" s="137"/>
      <c r="P89" s="142">
        <v>0</v>
      </c>
      <c r="Q89" s="136">
        <f>F89-P89</f>
        <v>0</v>
      </c>
      <c r="R89" s="137"/>
    </row>
    <row r="90" spans="1:20" s="10" customFormat="1" ht="23.25" hidden="1" x14ac:dyDescent="0.25">
      <c r="A90" s="24"/>
      <c r="B90" s="42"/>
      <c r="C90" s="25"/>
      <c r="D90" s="138"/>
      <c r="E90" s="138"/>
      <c r="F90" s="145"/>
      <c r="G90" s="146"/>
      <c r="H90" s="146"/>
      <c r="I90" s="138"/>
      <c r="J90" s="131"/>
      <c r="K90" s="132"/>
      <c r="L90" s="138"/>
      <c r="M90" s="131"/>
      <c r="N90" s="132"/>
      <c r="O90" s="132"/>
      <c r="P90" s="145"/>
      <c r="Q90" s="131"/>
      <c r="R90" s="132"/>
    </row>
    <row r="91" spans="1:20" s="174" customFormat="1" ht="44.25" hidden="1" customHeight="1" x14ac:dyDescent="0.3">
      <c r="A91" s="167"/>
      <c r="B91" s="168" t="s">
        <v>44</v>
      </c>
      <c r="C91" s="175"/>
      <c r="D91" s="170">
        <f>D81+D87</f>
        <v>194890.11200000002</v>
      </c>
      <c r="E91" s="170">
        <f>E81+E87</f>
        <v>313303.91200000001</v>
      </c>
      <c r="F91" s="170">
        <f>SUM(G91:G91)</f>
        <v>14817.088</v>
      </c>
      <c r="G91" s="170">
        <f>G81+G87</f>
        <v>14817.088</v>
      </c>
      <c r="H91" s="170"/>
      <c r="I91" s="170">
        <f>I81+I87</f>
        <v>16465.228999999999</v>
      </c>
      <c r="J91" s="171">
        <f>F91-I91</f>
        <v>-1648.1409999999996</v>
      </c>
      <c r="K91" s="172">
        <f>F91/I91*100</f>
        <v>89.990172623775848</v>
      </c>
      <c r="L91" s="170">
        <f>L81+L87</f>
        <v>37247.359333333334</v>
      </c>
      <c r="M91" s="171">
        <f>F91-L91</f>
        <v>-22430.271333333334</v>
      </c>
      <c r="N91" s="172">
        <f>F91/L91*100</f>
        <v>39.780237485828742</v>
      </c>
      <c r="O91" s="172">
        <f t="shared" si="50"/>
        <v>7.6027910538632142</v>
      </c>
      <c r="P91" s="170">
        <f>P81+P87</f>
        <v>13052.775</v>
      </c>
      <c r="Q91" s="171">
        <f>F91-P91</f>
        <v>1764.3130000000001</v>
      </c>
      <c r="R91" s="172">
        <f>F91/P91*100</f>
        <v>113.51676559199097</v>
      </c>
      <c r="S91" s="174">
        <v>9453.7240000000002</v>
      </c>
      <c r="T91" s="173">
        <f>S91-P91</f>
        <v>-3599.0509999999995</v>
      </c>
    </row>
    <row r="92" spans="1:20" s="60" customFormat="1" ht="22.5" hidden="1" x14ac:dyDescent="0.3">
      <c r="A92" s="56"/>
      <c r="B92" s="57"/>
      <c r="C92" s="58"/>
      <c r="D92" s="59"/>
      <c r="E92" s="59"/>
      <c r="F92" s="50"/>
      <c r="G92" s="59"/>
      <c r="H92" s="59"/>
      <c r="I92" s="59"/>
      <c r="J92" s="98"/>
      <c r="K92" s="99"/>
      <c r="L92" s="59"/>
      <c r="M92" s="98"/>
      <c r="N92" s="99"/>
      <c r="O92" s="99"/>
      <c r="P92" s="50"/>
      <c r="Q92" s="98"/>
      <c r="R92" s="99"/>
    </row>
    <row r="93" spans="1:20" s="182" customFormat="1" ht="63" hidden="1" customHeight="1" x14ac:dyDescent="0.3">
      <c r="A93" s="176"/>
      <c r="B93" s="177" t="s">
        <v>68</v>
      </c>
      <c r="C93" s="178"/>
      <c r="D93" s="179">
        <f>D91-D68</f>
        <v>100453.10000000002</v>
      </c>
      <c r="E93" s="179">
        <f>E91-E68</f>
        <v>218866.90000000002</v>
      </c>
      <c r="F93" s="170">
        <f>SUM(G93:G93)</f>
        <v>7964.6719999999996</v>
      </c>
      <c r="G93" s="179">
        <f>G91-G68</f>
        <v>7964.6719999999996</v>
      </c>
      <c r="H93" s="179"/>
      <c r="I93" s="179">
        <f>I91-I68</f>
        <v>8595.4779999999992</v>
      </c>
      <c r="J93" s="180">
        <f>F93-I93</f>
        <v>-630.80599999999959</v>
      </c>
      <c r="K93" s="181">
        <f>F93/I93*100</f>
        <v>92.661187661698392</v>
      </c>
      <c r="L93" s="179">
        <f>L91-L68</f>
        <v>29377.608333333334</v>
      </c>
      <c r="M93" s="180">
        <f>F93-L93</f>
        <v>-21412.936333333335</v>
      </c>
      <c r="N93" s="181">
        <f>F93/L93*100</f>
        <v>27.1113696854719</v>
      </c>
      <c r="O93" s="181">
        <f t="shared" si="50"/>
        <v>7.9287468480315679</v>
      </c>
      <c r="P93" s="170">
        <f>P91-P68</f>
        <v>9192.4709999999995</v>
      </c>
      <c r="Q93" s="180">
        <f>F93-P93</f>
        <v>-1227.799</v>
      </c>
      <c r="R93" s="181">
        <f>F93/P93*100</f>
        <v>86.643428083700229</v>
      </c>
    </row>
    <row r="94" spans="1:20" s="13" customFormat="1" ht="35.25" hidden="1" customHeight="1" x14ac:dyDescent="0.25">
      <c r="A94" s="241" t="s">
        <v>43</v>
      </c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3"/>
    </row>
    <row r="95" spans="1:20" s="174" customFormat="1" ht="37.5" hidden="1" customHeight="1" x14ac:dyDescent="0.3">
      <c r="A95" s="183"/>
      <c r="B95" s="168" t="s">
        <v>28</v>
      </c>
      <c r="C95" s="175"/>
      <c r="D95" s="170">
        <f>D46+D81</f>
        <v>4561433.8969999999</v>
      </c>
      <c r="E95" s="170">
        <f>E46+E81</f>
        <v>3944505.3009999995</v>
      </c>
      <c r="F95" s="170">
        <f>SUM(G95:G95)</f>
        <v>318356.81500000006</v>
      </c>
      <c r="G95" s="170">
        <f>G46+G81</f>
        <v>318356.81500000006</v>
      </c>
      <c r="H95" s="170"/>
      <c r="I95" s="170">
        <f>I46+I81</f>
        <v>291990.01400000002</v>
      </c>
      <c r="J95" s="171">
        <f>F95-I95</f>
        <v>26366.801000000036</v>
      </c>
      <c r="K95" s="172">
        <f>F95/I95*100</f>
        <v>109.03003518469643</v>
      </c>
      <c r="L95" s="170">
        <f>L46+L81</f>
        <v>380119.49141666671</v>
      </c>
      <c r="M95" s="171">
        <f>F95-L95</f>
        <v>-61762.676416666654</v>
      </c>
      <c r="N95" s="172">
        <f>F95/L95*100</f>
        <v>83.75177337355592</v>
      </c>
      <c r="O95" s="172">
        <f t="shared" si="50"/>
        <v>6.9793144477963285</v>
      </c>
      <c r="P95" s="170">
        <f>P46+P81</f>
        <v>250348.01899999994</v>
      </c>
      <c r="Q95" s="171">
        <f>F95-P95</f>
        <v>68008.796000000119</v>
      </c>
      <c r="R95" s="172">
        <f>F95/P95*100</f>
        <v>127.16570167867</v>
      </c>
    </row>
    <row r="96" spans="1:20" s="182" customFormat="1" ht="23.25" hidden="1" x14ac:dyDescent="0.3">
      <c r="A96" s="184"/>
      <c r="B96" s="185"/>
      <c r="C96" s="178"/>
      <c r="D96" s="179"/>
      <c r="E96" s="179"/>
      <c r="F96" s="170"/>
      <c r="G96" s="179"/>
      <c r="H96" s="179"/>
      <c r="I96" s="179"/>
      <c r="J96" s="180"/>
      <c r="K96" s="181"/>
      <c r="L96" s="179"/>
      <c r="M96" s="180"/>
      <c r="N96" s="181"/>
      <c r="O96" s="181"/>
      <c r="P96" s="170"/>
      <c r="Q96" s="180"/>
      <c r="R96" s="181"/>
    </row>
    <row r="97" spans="1:20" s="182" customFormat="1" ht="57.75" hidden="1" customHeight="1" x14ac:dyDescent="0.3">
      <c r="A97" s="184"/>
      <c r="B97" s="177" t="s">
        <v>67</v>
      </c>
      <c r="C97" s="178"/>
      <c r="D97" s="179">
        <f>D46+D83</f>
        <v>4466996.8849999998</v>
      </c>
      <c r="E97" s="179">
        <f>E46+E83</f>
        <v>3850068.2889999994</v>
      </c>
      <c r="F97" s="170">
        <f>SUM(G97:G97)</f>
        <v>311504.39900000009</v>
      </c>
      <c r="G97" s="179">
        <f>G46+G83</f>
        <v>311504.39900000009</v>
      </c>
      <c r="H97" s="179"/>
      <c r="I97" s="179">
        <f>I46+I83</f>
        <v>284120.26300000004</v>
      </c>
      <c r="J97" s="180">
        <f>F97-I97</f>
        <v>27384.136000000057</v>
      </c>
      <c r="K97" s="181">
        <f>F97/I97*100</f>
        <v>109.63821999559393</v>
      </c>
      <c r="L97" s="179">
        <f>L46+L83</f>
        <v>372249.74041666673</v>
      </c>
      <c r="M97" s="180">
        <f>F97-L97</f>
        <v>-60745.341416666633</v>
      </c>
      <c r="N97" s="181">
        <f>F97/L97*100</f>
        <v>83.681562450876896</v>
      </c>
      <c r="O97" s="181">
        <f t="shared" si="50"/>
        <v>6.9734635375730756</v>
      </c>
      <c r="P97" s="170">
        <f>P46+P83</f>
        <v>246487.71499999994</v>
      </c>
      <c r="Q97" s="180">
        <f>F97-P97</f>
        <v>65016.684000000154</v>
      </c>
      <c r="R97" s="181">
        <f>F97/P97*100</f>
        <v>126.37725129627664</v>
      </c>
    </row>
    <row r="98" spans="1:20" s="32" customFormat="1" ht="22.5" hidden="1" x14ac:dyDescent="0.3">
      <c r="A98" s="41"/>
      <c r="B98" s="16"/>
      <c r="C98" s="26"/>
      <c r="D98" s="59"/>
      <c r="E98" s="59"/>
      <c r="F98" s="50"/>
      <c r="G98" s="59"/>
      <c r="H98" s="59"/>
      <c r="I98" s="59"/>
      <c r="J98" s="98"/>
      <c r="K98" s="99"/>
      <c r="L98" s="59"/>
      <c r="M98" s="98"/>
      <c r="N98" s="99"/>
      <c r="O98" s="99"/>
      <c r="P98" s="50"/>
      <c r="Q98" s="98"/>
      <c r="R98" s="99"/>
    </row>
    <row r="99" spans="1:20" s="32" customFormat="1" ht="60.75" hidden="1" x14ac:dyDescent="0.3">
      <c r="A99" s="41"/>
      <c r="B99" s="186" t="s">
        <v>178</v>
      </c>
      <c r="C99" s="26"/>
      <c r="D99" s="187">
        <f>D97+D48+D101</f>
        <v>5581576.4849999994</v>
      </c>
      <c r="E99" s="187" t="e">
        <f>E97+E48+#REF!+E101</f>
        <v>#REF!</v>
      </c>
      <c r="F99" s="188">
        <f>SUM(G99:G99)</f>
        <v>398966.69900000008</v>
      </c>
      <c r="G99" s="187">
        <f>G97+G48+G101</f>
        <v>398966.69900000008</v>
      </c>
      <c r="H99" s="187"/>
      <c r="I99" s="187">
        <f>I97+I48+I101</f>
        <v>371582.56300000002</v>
      </c>
      <c r="J99" s="189">
        <f>F99-I99</f>
        <v>27384.136000000057</v>
      </c>
      <c r="K99" s="190">
        <f>F99/I99*100</f>
        <v>107.36959661909648</v>
      </c>
      <c r="L99" s="187">
        <f>L97+L48+L101</f>
        <v>1249508.4404166667</v>
      </c>
      <c r="M99" s="189">
        <f>F99-L99</f>
        <v>-850541.74141666666</v>
      </c>
      <c r="N99" s="190">
        <f>F99/L99*100</f>
        <v>31.92989227563432</v>
      </c>
      <c r="O99" s="190">
        <f t="shared" si="50"/>
        <v>7.1479213815700344</v>
      </c>
      <c r="P99" s="188">
        <f>P97+P48+P101</f>
        <v>310815.51499999996</v>
      </c>
      <c r="Q99" s="189">
        <f>F99-P99</f>
        <v>88151.184000000125</v>
      </c>
      <c r="R99" s="190">
        <f>F99/P99*100</f>
        <v>128.36125603318101</v>
      </c>
      <c r="S99" s="66"/>
    </row>
    <row r="100" spans="1:20" s="32" customFormat="1" ht="22.5" hidden="1" x14ac:dyDescent="0.3">
      <c r="A100" s="41"/>
      <c r="B100" s="16"/>
      <c r="C100" s="26"/>
      <c r="D100" s="59"/>
      <c r="E100" s="59"/>
      <c r="F100" s="50"/>
      <c r="G100" s="59"/>
      <c r="H100" s="59"/>
      <c r="I100" s="59"/>
      <c r="J100" s="98"/>
      <c r="K100" s="99"/>
      <c r="L100" s="59"/>
      <c r="M100" s="98"/>
      <c r="N100" s="99"/>
      <c r="O100" s="99"/>
      <c r="P100" s="50"/>
      <c r="Q100" s="98"/>
      <c r="R100" s="99"/>
    </row>
    <row r="101" spans="1:20" s="32" customFormat="1" ht="39.75" hidden="1" customHeight="1" x14ac:dyDescent="0.3">
      <c r="A101" s="41"/>
      <c r="B101" s="186" t="s">
        <v>74</v>
      </c>
      <c r="C101" s="26"/>
      <c r="D101" s="187">
        <v>258895.5</v>
      </c>
      <c r="E101" s="187">
        <v>234281.5</v>
      </c>
      <c r="F101" s="188">
        <f>SUM(G101:G101)</f>
        <v>21574.6</v>
      </c>
      <c r="G101" s="187">
        <v>21574.6</v>
      </c>
      <c r="H101" s="187"/>
      <c r="I101" s="187">
        <v>21574.6</v>
      </c>
      <c r="J101" s="189">
        <f>F101-I101</f>
        <v>0</v>
      </c>
      <c r="K101" s="190">
        <f>F101/I101*100</f>
        <v>100</v>
      </c>
      <c r="L101" s="187">
        <v>21574.6</v>
      </c>
      <c r="M101" s="189">
        <f>F101-L101</f>
        <v>0</v>
      </c>
      <c r="N101" s="190">
        <f>F101/L101*100</f>
        <v>100</v>
      </c>
      <c r="O101" s="190">
        <f t="shared" si="50"/>
        <v>8.3333236769275629</v>
      </c>
      <c r="P101" s="188">
        <v>19523.5</v>
      </c>
      <c r="Q101" s="189">
        <f>F101-P101</f>
        <v>2051.0999999999985</v>
      </c>
      <c r="R101" s="190">
        <f>F101/P101*100</f>
        <v>110.50580070171843</v>
      </c>
    </row>
    <row r="102" spans="1:20" s="32" customFormat="1" ht="22.5" hidden="1" x14ac:dyDescent="0.3">
      <c r="A102" s="12"/>
      <c r="B102" s="16"/>
      <c r="C102" s="26"/>
      <c r="D102" s="59"/>
      <c r="E102" s="59"/>
      <c r="F102" s="50"/>
      <c r="G102" s="59"/>
      <c r="H102" s="59"/>
      <c r="I102" s="59"/>
      <c r="J102" s="98"/>
      <c r="K102" s="99"/>
      <c r="L102" s="59"/>
      <c r="M102" s="98"/>
      <c r="N102" s="99"/>
      <c r="O102" s="99"/>
      <c r="P102" s="50"/>
      <c r="Q102" s="98"/>
      <c r="R102" s="99"/>
    </row>
    <row r="103" spans="1:20" s="51" customFormat="1" ht="39" hidden="1" customHeight="1" x14ac:dyDescent="0.3">
      <c r="A103" s="48"/>
      <c r="B103" s="52" t="s">
        <v>29</v>
      </c>
      <c r="C103" s="54"/>
      <c r="D103" s="50">
        <f>D59+D87</f>
        <v>932227.53999999992</v>
      </c>
      <c r="E103" s="50" t="e">
        <f>E59+E87</f>
        <v>#REF!</v>
      </c>
      <c r="F103" s="50">
        <f>SUM(G103:G103)</f>
        <v>69678.231999999989</v>
      </c>
      <c r="G103" s="50">
        <f>G59+G87</f>
        <v>69678.231999999989</v>
      </c>
      <c r="H103" s="50"/>
      <c r="I103" s="50">
        <f>I59+I87</f>
        <v>70879.832999999999</v>
      </c>
      <c r="J103" s="93">
        <f>F103-I103</f>
        <v>-1201.6010000000097</v>
      </c>
      <c r="K103" s="94">
        <f>F103/I103*100</f>
        <v>98.30473500128025</v>
      </c>
      <c r="L103" s="50">
        <f>L59+L87</f>
        <v>928285.14099999995</v>
      </c>
      <c r="M103" s="93">
        <f>F103-L103</f>
        <v>-858606.90899999999</v>
      </c>
      <c r="N103" s="94">
        <f>F103/L103*100</f>
        <v>7.5061238107225066</v>
      </c>
      <c r="O103" s="94">
        <f t="shared" si="50"/>
        <v>7.4743803428077227</v>
      </c>
      <c r="P103" s="50">
        <f>P59+P87</f>
        <v>46907.102000000006</v>
      </c>
      <c r="Q103" s="93">
        <f>F103-P103</f>
        <v>22771.129999999983</v>
      </c>
      <c r="R103" s="94">
        <f>F103/P103*100</f>
        <v>148.54516486650567</v>
      </c>
    </row>
    <row r="104" spans="1:20" s="60" customFormat="1" ht="39" hidden="1" customHeight="1" x14ac:dyDescent="0.3">
      <c r="A104" s="191"/>
      <c r="B104" s="61" t="s">
        <v>78</v>
      </c>
      <c r="C104" s="58"/>
      <c r="D104" s="59">
        <f t="shared" ref="D104:E104" si="52">D105+D106</f>
        <v>903227.53999999992</v>
      </c>
      <c r="E104" s="59" t="e">
        <f t="shared" si="52"/>
        <v>#REF!</v>
      </c>
      <c r="F104" s="50">
        <f>SUM(G104:G104)</f>
        <v>67261.531999999992</v>
      </c>
      <c r="G104" s="59">
        <f t="shared" ref="G104:I104" si="53">G105+G106</f>
        <v>67261.531999999992</v>
      </c>
      <c r="H104" s="59"/>
      <c r="I104" s="59">
        <f t="shared" si="53"/>
        <v>68463.133000000002</v>
      </c>
      <c r="J104" s="98">
        <f>F104-I104</f>
        <v>-1201.6010000000097</v>
      </c>
      <c r="K104" s="99">
        <f>F104/I104*100</f>
        <v>98.244893350118801</v>
      </c>
      <c r="L104" s="59">
        <f t="shared" ref="L104" si="54">L105+L106</f>
        <v>899285.14099999995</v>
      </c>
      <c r="M104" s="98">
        <f>F104-L104</f>
        <v>-832023.60899999994</v>
      </c>
      <c r="N104" s="99">
        <f>F104/L104*100</f>
        <v>7.4794443868165725</v>
      </c>
      <c r="O104" s="99">
        <f t="shared" si="50"/>
        <v>7.4467981788952091</v>
      </c>
      <c r="P104" s="50">
        <f t="shared" ref="P104" si="55">P105+P106</f>
        <v>46907.102000000006</v>
      </c>
      <c r="Q104" s="98">
        <f>F104-P104</f>
        <v>20354.429999999986</v>
      </c>
      <c r="R104" s="99">
        <f>F104/P104*100</f>
        <v>143.39306657657082</v>
      </c>
    </row>
    <row r="105" spans="1:20" s="194" customFormat="1" ht="23.25" hidden="1" x14ac:dyDescent="0.35">
      <c r="A105" s="192"/>
      <c r="B105" s="193" t="s">
        <v>110</v>
      </c>
      <c r="C105" s="193"/>
      <c r="D105" s="139">
        <f>D63+D88</f>
        <v>878600.29999999993</v>
      </c>
      <c r="E105" s="139" t="e">
        <f>E63+E88</f>
        <v>#REF!</v>
      </c>
      <c r="F105" s="142">
        <f>SUM(G105:G105)</f>
        <v>65887.7</v>
      </c>
      <c r="G105" s="139">
        <f>G63+G88</f>
        <v>65887.7</v>
      </c>
      <c r="H105" s="139"/>
      <c r="I105" s="139">
        <f>I63+I88</f>
        <v>66887.7</v>
      </c>
      <c r="J105" s="136">
        <f>F105-I105</f>
        <v>-1000</v>
      </c>
      <c r="K105" s="137">
        <f>F105/I105*100</f>
        <v>98.50495681567763</v>
      </c>
      <c r="L105" s="139">
        <f>L63+L88</f>
        <v>878600.29999999993</v>
      </c>
      <c r="M105" s="136">
        <f>F105-L105</f>
        <v>-812712.6</v>
      </c>
      <c r="N105" s="137">
        <f>F105/L105*100</f>
        <v>7.4991665721033787</v>
      </c>
      <c r="O105" s="137">
        <f t="shared" si="50"/>
        <v>7.4991665721033787</v>
      </c>
      <c r="P105" s="142">
        <f>P63+P88</f>
        <v>44804.3</v>
      </c>
      <c r="Q105" s="136">
        <f>F105-P105</f>
        <v>21083.399999999994</v>
      </c>
      <c r="R105" s="137">
        <f>F105/P105*100</f>
        <v>147.05664411674769</v>
      </c>
    </row>
    <row r="106" spans="1:20" s="194" customFormat="1" ht="23.25" hidden="1" x14ac:dyDescent="0.35">
      <c r="A106" s="192"/>
      <c r="B106" s="193" t="s">
        <v>109</v>
      </c>
      <c r="C106" s="193"/>
      <c r="D106" s="139">
        <f>D89+D64</f>
        <v>24627.24</v>
      </c>
      <c r="E106" s="139">
        <f>E89+E64</f>
        <v>26319.402000000002</v>
      </c>
      <c r="F106" s="142">
        <f>SUM(G106:G106)</f>
        <v>1373.8319999999999</v>
      </c>
      <c r="G106" s="139">
        <f>G89+G64</f>
        <v>1373.8319999999999</v>
      </c>
      <c r="H106" s="139"/>
      <c r="I106" s="139">
        <f>I89+I64</f>
        <v>1575.4329999999998</v>
      </c>
      <c r="J106" s="136">
        <f>F106-I106</f>
        <v>-201.60099999999989</v>
      </c>
      <c r="K106" s="137">
        <f>F106/I106*100</f>
        <v>87.20345454233852</v>
      </c>
      <c r="L106" s="139">
        <f>L89+L64</f>
        <v>20684.841</v>
      </c>
      <c r="M106" s="136">
        <f>F106-L106</f>
        <v>-19311.009000000002</v>
      </c>
      <c r="N106" s="137">
        <f>F106/L106*100</f>
        <v>6.6417334317435639</v>
      </c>
      <c r="O106" s="137">
        <f t="shared" si="50"/>
        <v>5.5785057521671115</v>
      </c>
      <c r="P106" s="142">
        <f>P89+P64</f>
        <v>2102.8020000000001</v>
      </c>
      <c r="Q106" s="136">
        <f>F106-P106</f>
        <v>-728.97000000000025</v>
      </c>
      <c r="R106" s="137">
        <f>F106/P106*100</f>
        <v>65.333398008942339</v>
      </c>
    </row>
    <row r="107" spans="1:20" s="8" customFormat="1" ht="23.25" hidden="1" x14ac:dyDescent="0.25">
      <c r="A107" s="28"/>
      <c r="B107" s="46"/>
      <c r="C107" s="17"/>
      <c r="D107" s="139"/>
      <c r="E107" s="139"/>
      <c r="F107" s="142"/>
      <c r="G107" s="139"/>
      <c r="H107" s="139"/>
      <c r="I107" s="139"/>
      <c r="J107" s="136"/>
      <c r="K107" s="137"/>
      <c r="L107" s="139"/>
      <c r="M107" s="136"/>
      <c r="N107" s="137"/>
      <c r="O107" s="137"/>
      <c r="P107" s="142"/>
      <c r="Q107" s="136"/>
      <c r="R107" s="137"/>
    </row>
    <row r="108" spans="1:20" s="174" customFormat="1" ht="48.75" hidden="1" customHeight="1" x14ac:dyDescent="0.3">
      <c r="A108" s="183"/>
      <c r="B108" s="168" t="s">
        <v>160</v>
      </c>
      <c r="C108" s="175"/>
      <c r="D108" s="170">
        <f>D95+D103</f>
        <v>5493661.4369999999</v>
      </c>
      <c r="E108" s="170" t="e">
        <f>E95+E103</f>
        <v>#REF!</v>
      </c>
      <c r="F108" s="170">
        <f>SUM(G108:G108)</f>
        <v>388035.04700000002</v>
      </c>
      <c r="G108" s="170">
        <f>G95+G103</f>
        <v>388035.04700000002</v>
      </c>
      <c r="H108" s="170"/>
      <c r="I108" s="170">
        <f>I95+I103</f>
        <v>362869.84700000001</v>
      </c>
      <c r="J108" s="171">
        <f>F108-I108</f>
        <v>25165.200000000012</v>
      </c>
      <c r="K108" s="172">
        <f>F108/I108*100</f>
        <v>106.93504853270434</v>
      </c>
      <c r="L108" s="170">
        <f>L91+L66</f>
        <v>1308404.6324166667</v>
      </c>
      <c r="M108" s="171">
        <f>F108-L108</f>
        <v>-920369.5854166667</v>
      </c>
      <c r="N108" s="172">
        <f>F108/L108*100</f>
        <v>29.657113509548378</v>
      </c>
      <c r="O108" s="172">
        <f t="shared" si="50"/>
        <v>7.0633229122306407</v>
      </c>
      <c r="P108" s="170">
        <f>P95+P103</f>
        <v>297255.12099999993</v>
      </c>
      <c r="Q108" s="171">
        <f>F108-P108</f>
        <v>90779.926000000094</v>
      </c>
      <c r="R108" s="172">
        <f>F108/P108*100</f>
        <v>130.53939851216225</v>
      </c>
      <c r="S108" s="170">
        <v>297255.12099999993</v>
      </c>
      <c r="T108" s="170">
        <f>S108-P108</f>
        <v>0</v>
      </c>
    </row>
    <row r="109" spans="1:20" s="60" customFormat="1" ht="22.5" hidden="1" x14ac:dyDescent="0.3">
      <c r="A109" s="62"/>
      <c r="B109" s="57"/>
      <c r="C109" s="58"/>
      <c r="D109" s="112"/>
      <c r="E109" s="112"/>
      <c r="F109" s="127"/>
      <c r="G109" s="112"/>
      <c r="H109" s="112"/>
      <c r="I109" s="112"/>
      <c r="J109" s="98"/>
      <c r="K109" s="99"/>
      <c r="L109" s="59"/>
      <c r="M109" s="98"/>
      <c r="N109" s="99"/>
      <c r="O109" s="99"/>
      <c r="P109" s="127"/>
      <c r="Q109" s="98"/>
      <c r="R109" s="99"/>
    </row>
    <row r="110" spans="1:20" s="60" customFormat="1" ht="60" hidden="1" customHeight="1" x14ac:dyDescent="0.3">
      <c r="A110" s="62"/>
      <c r="B110" s="125" t="s">
        <v>79</v>
      </c>
      <c r="C110" s="58"/>
      <c r="D110" s="59">
        <f>D66+D93</f>
        <v>5399224.4249999989</v>
      </c>
      <c r="E110" s="59">
        <f t="shared" si="38"/>
        <v>5399224.4249999989</v>
      </c>
      <c r="F110" s="50">
        <f t="shared" ref="F110" si="56">SUM(G110:G110)</f>
        <v>381182.63100000005</v>
      </c>
      <c r="G110" s="59">
        <f>G66+G93</f>
        <v>381182.63100000005</v>
      </c>
      <c r="H110" s="59"/>
      <c r="I110" s="59">
        <f>I66+I93</f>
        <v>355000.09600000002</v>
      </c>
      <c r="J110" s="98">
        <f>F110-I110</f>
        <v>26182.535000000033</v>
      </c>
      <c r="K110" s="99">
        <f>F110/I110*100</f>
        <v>107.37535997736745</v>
      </c>
      <c r="L110" s="59">
        <f>L66+L93</f>
        <v>1300534.8814166668</v>
      </c>
      <c r="M110" s="98">
        <f>F110-L110</f>
        <v>-919352.25041666673</v>
      </c>
      <c r="N110" s="99">
        <f>F110/L110*100</f>
        <v>29.309681458507253</v>
      </c>
      <c r="O110" s="99">
        <f t="shared" si="50"/>
        <v>7.0599515966591833</v>
      </c>
      <c r="P110" s="50">
        <f>P66+P93</f>
        <v>293394.81699999998</v>
      </c>
      <c r="Q110" s="98">
        <f>F110-P110</f>
        <v>87787.814000000071</v>
      </c>
      <c r="R110" s="99">
        <f>F110/P110*100</f>
        <v>129.92139223781859</v>
      </c>
    </row>
    <row r="111" spans="1:20" s="15" customFormat="1" ht="3.75" hidden="1" customHeight="1" x14ac:dyDescent="0.3">
      <c r="A111" s="37"/>
      <c r="B111" s="38"/>
      <c r="C111" s="39"/>
      <c r="D111" s="39"/>
      <c r="E111" s="40"/>
      <c r="F111" s="110"/>
      <c r="G111" s="40"/>
      <c r="H111" s="40"/>
      <c r="I111" s="40"/>
      <c r="J111" s="101"/>
      <c r="K111" s="102"/>
      <c r="L111" s="40"/>
      <c r="M111" s="101"/>
      <c r="N111" s="102"/>
      <c r="O111" s="102"/>
      <c r="P111" s="110"/>
      <c r="Q111" s="101"/>
      <c r="R111" s="102"/>
    </row>
    <row r="112" spans="1:20" s="15" customFormat="1" ht="50.25" hidden="1" customHeight="1" x14ac:dyDescent="0.4">
      <c r="A112" s="37"/>
      <c r="B112" s="22" t="s">
        <v>99</v>
      </c>
      <c r="C112" s="22"/>
      <c r="D112" s="22"/>
      <c r="E112" s="22"/>
      <c r="F112" s="22" t="s">
        <v>100</v>
      </c>
      <c r="G112" s="22"/>
      <c r="H112" s="22"/>
      <c r="I112" s="40"/>
      <c r="J112" s="101"/>
      <c r="K112" s="102"/>
      <c r="L112" s="40"/>
      <c r="M112" s="101"/>
      <c r="N112" s="102"/>
      <c r="O112" s="102"/>
      <c r="P112" s="22"/>
      <c r="Q112" s="101"/>
      <c r="R112" s="102"/>
    </row>
    <row r="113" spans="1:18" s="8" customFormat="1" ht="18" hidden="1" customHeight="1" x14ac:dyDescent="0.45">
      <c r="A113" s="6"/>
      <c r="B113" s="31" t="s">
        <v>54</v>
      </c>
      <c r="C113" s="19"/>
      <c r="D113" s="19"/>
      <c r="E113" s="19"/>
      <c r="F113" s="21"/>
      <c r="G113" s="21"/>
      <c r="H113" s="21"/>
      <c r="I113" s="7"/>
      <c r="J113" s="103"/>
      <c r="K113" s="104"/>
      <c r="L113" s="7"/>
      <c r="M113" s="103"/>
      <c r="N113" s="104"/>
      <c r="O113" s="104"/>
      <c r="P113" s="21"/>
      <c r="Q113" s="103"/>
      <c r="R113" s="104"/>
    </row>
    <row r="114" spans="1:18" s="8" customFormat="1" ht="30.75" hidden="1" x14ac:dyDescent="0.45">
      <c r="A114" s="6"/>
      <c r="B114" s="19"/>
      <c r="C114" s="19"/>
      <c r="D114" s="19"/>
      <c r="E114" s="152"/>
      <c r="F114" s="63"/>
      <c r="G114" s="21"/>
      <c r="H114" s="21"/>
      <c r="I114" s="7"/>
      <c r="J114" s="103"/>
      <c r="K114" s="104"/>
      <c r="L114" s="7"/>
      <c r="M114" s="103"/>
      <c r="N114" s="104"/>
      <c r="O114" s="104"/>
      <c r="P114" s="63"/>
      <c r="Q114" s="103"/>
      <c r="R114" s="104"/>
    </row>
    <row r="115" spans="1:18" s="4" customFormat="1" ht="30.75" hidden="1" x14ac:dyDescent="0.45">
      <c r="A115" s="29"/>
      <c r="B115" s="19"/>
      <c r="C115" s="19"/>
      <c r="D115" s="122">
        <v>5493661.4369999999</v>
      </c>
      <c r="E115" s="122">
        <v>4242798.9189999998</v>
      </c>
      <c r="F115" s="69">
        <v>388035.04700000002</v>
      </c>
      <c r="G115" s="123"/>
      <c r="H115" s="123"/>
      <c r="I115" s="69">
        <v>362869.84700000001</v>
      </c>
      <c r="J115" s="5"/>
      <c r="K115" s="5"/>
      <c r="L115" s="22"/>
      <c r="M115" s="5"/>
      <c r="N115" s="5"/>
      <c r="O115" s="5"/>
      <c r="P115" s="69"/>
      <c r="Q115" s="5"/>
    </row>
    <row r="116" spans="1:18" ht="12" hidden="1" customHeight="1" x14ac:dyDescent="0.45">
      <c r="B116" s="31"/>
      <c r="C116" s="21"/>
      <c r="D116" s="21"/>
      <c r="E116" s="21"/>
      <c r="F116" s="63"/>
      <c r="G116" s="21"/>
      <c r="H116" s="21"/>
      <c r="P116" s="63"/>
    </row>
    <row r="117" spans="1:18" s="2" customFormat="1" ht="30.75" hidden="1" customHeight="1" x14ac:dyDescent="0.45">
      <c r="A117" s="30"/>
      <c r="B117" s="19"/>
      <c r="C117" s="19"/>
      <c r="D117" s="19"/>
      <c r="E117" s="19"/>
      <c r="F117" s="63"/>
      <c r="G117" s="21"/>
      <c r="H117" s="21"/>
      <c r="J117" s="199"/>
      <c r="K117" s="199"/>
      <c r="L117" s="199"/>
      <c r="M117" s="199"/>
      <c r="N117" s="199"/>
      <c r="O117" s="199"/>
      <c r="P117" s="63"/>
      <c r="Q117" s="199"/>
    </row>
    <row r="118" spans="1:18" s="2" customFormat="1" ht="30.75" hidden="1" customHeight="1" x14ac:dyDescent="0.45">
      <c r="A118" s="30"/>
      <c r="B118" s="19"/>
      <c r="C118" s="19"/>
      <c r="D118" s="19"/>
      <c r="E118" s="19"/>
      <c r="F118" s="63"/>
      <c r="G118" s="21"/>
      <c r="H118" s="21"/>
      <c r="J118" s="199"/>
      <c r="K118" s="199"/>
      <c r="L118" s="199"/>
      <c r="M118" s="199"/>
      <c r="N118" s="199"/>
      <c r="O118" s="199"/>
      <c r="P118" s="63"/>
      <c r="Q118" s="199"/>
    </row>
    <row r="119" spans="1:18" s="2" customFormat="1" ht="16.5" hidden="1" customHeight="1" x14ac:dyDescent="0.45">
      <c r="A119" s="30"/>
      <c r="B119" s="31"/>
      <c r="C119" s="21"/>
      <c r="D119" s="21"/>
      <c r="E119" s="21"/>
      <c r="F119" s="63"/>
      <c r="G119" s="21"/>
      <c r="H119" s="21"/>
      <c r="J119" s="199"/>
      <c r="K119" s="199"/>
      <c r="L119" s="199"/>
      <c r="M119" s="199"/>
      <c r="N119" s="199"/>
      <c r="O119" s="199"/>
      <c r="P119" s="63"/>
      <c r="Q119" s="199"/>
    </row>
    <row r="120" spans="1:18" ht="18.75" hidden="1" x14ac:dyDescent="0.3">
      <c r="B120" s="29"/>
      <c r="D120" s="122">
        <f>D115-D108</f>
        <v>0</v>
      </c>
      <c r="E120" s="122" t="e">
        <f t="shared" ref="E120:I120" si="57">E115-E108</f>
        <v>#REF!</v>
      </c>
      <c r="F120" s="122">
        <f t="shared" si="57"/>
        <v>0</v>
      </c>
      <c r="G120" s="33"/>
      <c r="H120" s="33"/>
      <c r="I120" s="122">
        <f t="shared" si="57"/>
        <v>0</v>
      </c>
      <c r="J120" s="234" t="s">
        <v>51</v>
      </c>
      <c r="K120" s="234"/>
      <c r="L120" s="106">
        <f>D46/12*1</f>
        <v>365788.33208333328</v>
      </c>
      <c r="P120" s="122"/>
    </row>
    <row r="121" spans="1:18" ht="18.75" hidden="1" x14ac:dyDescent="0.3">
      <c r="B121" s="29"/>
      <c r="I121" s="124"/>
      <c r="J121" s="199"/>
      <c r="K121" s="199"/>
      <c r="L121" s="106">
        <f>L120-L46</f>
        <v>0</v>
      </c>
    </row>
    <row r="122" spans="1:18" ht="18.75" hidden="1" x14ac:dyDescent="0.3">
      <c r="B122" s="4"/>
      <c r="C122" s="3"/>
      <c r="D122" s="3"/>
      <c r="E122" s="123">
        <v>4242798.9189999998</v>
      </c>
      <c r="F122" s="123"/>
      <c r="J122" s="234" t="s">
        <v>52</v>
      </c>
      <c r="K122" s="234"/>
      <c r="L122" s="105">
        <f>D81/12*1</f>
        <v>14331.159333333335</v>
      </c>
      <c r="P122" s="123"/>
    </row>
    <row r="123" spans="1:18" ht="18.75" hidden="1" x14ac:dyDescent="0.3">
      <c r="B123" s="4"/>
      <c r="C123" s="3"/>
      <c r="D123" s="3"/>
      <c r="E123" s="3"/>
      <c r="F123" s="3"/>
      <c r="J123" s="199"/>
      <c r="K123" s="199"/>
      <c r="L123" s="106">
        <f>L122-L81</f>
        <v>0</v>
      </c>
      <c r="P123" s="3"/>
    </row>
    <row r="124" spans="1:18" ht="22.5" hidden="1" x14ac:dyDescent="0.3">
      <c r="B124" s="4"/>
      <c r="C124" s="3"/>
      <c r="D124" s="3"/>
      <c r="E124" s="153"/>
      <c r="F124" s="153"/>
      <c r="J124" s="234" t="s">
        <v>53</v>
      </c>
      <c r="K124" s="234"/>
      <c r="L124" s="106">
        <f>L122+L87</f>
        <v>37247.359333333334</v>
      </c>
      <c r="P124" s="153"/>
    </row>
    <row r="125" spans="1:18" ht="18.75" hidden="1" x14ac:dyDescent="0.3">
      <c r="B125" s="4"/>
      <c r="C125" s="3"/>
      <c r="D125" s="3"/>
      <c r="E125" s="3"/>
      <c r="J125" s="199"/>
      <c r="K125" s="199"/>
      <c r="L125" s="106">
        <f>L124-L91</f>
        <v>0</v>
      </c>
    </row>
    <row r="126" spans="1:18" ht="18.75" x14ac:dyDescent="0.3">
      <c r="B126" s="4"/>
      <c r="C126" s="3"/>
      <c r="D126" s="3"/>
      <c r="E126" s="3"/>
    </row>
    <row r="127" spans="1:18" ht="18.75" x14ac:dyDescent="0.3">
      <c r="B127" s="155"/>
      <c r="C127" s="3"/>
      <c r="D127" s="3"/>
      <c r="E127" s="3"/>
    </row>
    <row r="128" spans="1:18" ht="18.75" x14ac:dyDescent="0.3">
      <c r="B128" s="4"/>
      <c r="C128" s="3"/>
      <c r="D128" s="3"/>
      <c r="E128" s="3"/>
    </row>
    <row r="129" spans="2:43" s="20" customFormat="1" ht="18.75" x14ac:dyDescent="0.3">
      <c r="B129" s="4"/>
      <c r="C129" s="3"/>
      <c r="D129" s="3"/>
      <c r="E129" s="3"/>
      <c r="F129" s="33"/>
      <c r="G129" s="3"/>
      <c r="H129" s="3"/>
      <c r="I129" s="3"/>
      <c r="J129" s="1"/>
      <c r="K129" s="1"/>
      <c r="L129" s="1"/>
      <c r="M129" s="1"/>
      <c r="N129" s="1"/>
      <c r="O129" s="1"/>
      <c r="P129" s="33"/>
      <c r="Q129" s="1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</row>
    <row r="130" spans="2:43" s="20" customFormat="1" ht="18.75" x14ac:dyDescent="0.3">
      <c r="B130" s="4"/>
      <c r="C130" s="3"/>
      <c r="D130" s="3"/>
      <c r="E130" s="123"/>
      <c r="F130" s="156"/>
      <c r="G130" s="3"/>
      <c r="H130" s="3"/>
      <c r="I130" s="3"/>
      <c r="J130" s="1"/>
      <c r="K130" s="1"/>
      <c r="L130" s="1"/>
      <c r="M130" s="1"/>
      <c r="N130" s="1"/>
      <c r="O130" s="1"/>
      <c r="P130" s="156"/>
      <c r="Q130" s="1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spans="2:43" s="20" customFormat="1" ht="18.75" x14ac:dyDescent="0.3">
      <c r="B131" s="4"/>
      <c r="C131" s="3"/>
      <c r="D131" s="157"/>
      <c r="E131" s="3"/>
      <c r="F131" s="33"/>
      <c r="G131" s="3"/>
      <c r="H131" s="3"/>
      <c r="I131" s="3"/>
      <c r="J131" s="1"/>
      <c r="K131" s="1"/>
      <c r="L131" s="1"/>
      <c r="M131" s="1"/>
      <c r="N131" s="1"/>
      <c r="O131" s="1"/>
      <c r="P131" s="33"/>
      <c r="Q131" s="1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</row>
    <row r="132" spans="2:43" s="20" customFormat="1" ht="18.75" x14ac:dyDescent="0.3">
      <c r="B132" s="4"/>
      <c r="C132" s="3"/>
      <c r="D132" s="3"/>
      <c r="E132" s="3"/>
      <c r="F132" s="33"/>
      <c r="G132" s="3"/>
      <c r="H132" s="3"/>
      <c r="I132" s="3"/>
      <c r="J132" s="1"/>
      <c r="K132" s="1"/>
      <c r="L132" s="1"/>
      <c r="M132" s="1"/>
      <c r="N132" s="1"/>
      <c r="O132" s="1"/>
      <c r="P132" s="33"/>
      <c r="Q132" s="1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spans="2:43" s="20" customFormat="1" ht="22.5" x14ac:dyDescent="0.3">
      <c r="B133" s="4"/>
      <c r="C133" s="3"/>
      <c r="D133" s="154"/>
      <c r="E133" s="3"/>
      <c r="F133" s="33"/>
      <c r="G133" s="3"/>
      <c r="H133" s="3"/>
      <c r="I133" s="3"/>
      <c r="J133" s="1"/>
      <c r="K133" s="1"/>
      <c r="L133" s="1"/>
      <c r="M133" s="1"/>
      <c r="N133" s="1"/>
      <c r="O133" s="1"/>
      <c r="P133" s="33"/>
      <c r="Q133" s="1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</row>
    <row r="134" spans="2:43" s="20" customFormat="1" ht="18.75" x14ac:dyDescent="0.3">
      <c r="B134" s="4"/>
      <c r="C134" s="3"/>
      <c r="D134" s="3"/>
      <c r="E134" s="3"/>
      <c r="F134" s="156"/>
      <c r="G134" s="3"/>
      <c r="H134" s="3"/>
      <c r="I134" s="3"/>
      <c r="J134" s="1"/>
      <c r="K134" s="1"/>
      <c r="L134" s="1"/>
      <c r="M134" s="1"/>
      <c r="N134" s="1"/>
      <c r="O134" s="1"/>
      <c r="P134" s="156"/>
      <c r="Q134" s="1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spans="2:43" s="20" customFormat="1" ht="18.75" x14ac:dyDescent="0.3">
      <c r="B135" s="4"/>
      <c r="C135" s="3"/>
      <c r="D135" s="3"/>
      <c r="E135" s="3"/>
      <c r="F135" s="33"/>
      <c r="G135" s="3"/>
      <c r="H135" s="3"/>
      <c r="I135" s="3"/>
      <c r="J135" s="1"/>
      <c r="K135" s="1"/>
      <c r="L135" s="1"/>
      <c r="M135" s="1"/>
      <c r="N135" s="1"/>
      <c r="O135" s="1"/>
      <c r="P135" s="33"/>
      <c r="Q135" s="1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</row>
    <row r="136" spans="2:43" s="20" customFormat="1" ht="18.75" x14ac:dyDescent="0.3">
      <c r="B136" s="4"/>
      <c r="C136" s="3"/>
      <c r="D136" s="3"/>
      <c r="E136" s="3"/>
      <c r="F136" s="33"/>
      <c r="G136" s="3"/>
      <c r="H136" s="3"/>
      <c r="I136" s="3"/>
      <c r="J136" s="1"/>
      <c r="K136" s="1"/>
      <c r="L136" s="1"/>
      <c r="M136" s="1"/>
      <c r="N136" s="1"/>
      <c r="O136" s="1"/>
      <c r="P136" s="33"/>
      <c r="Q136" s="1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spans="2:43" s="20" customFormat="1" ht="18.75" x14ac:dyDescent="0.3">
      <c r="B137" s="29"/>
      <c r="F137" s="33"/>
      <c r="G137" s="3"/>
      <c r="H137" s="3"/>
      <c r="I137" s="3"/>
      <c r="J137" s="1"/>
      <c r="K137" s="1"/>
      <c r="L137" s="1"/>
      <c r="M137" s="1"/>
      <c r="N137" s="1"/>
      <c r="O137" s="1"/>
      <c r="P137" s="33"/>
      <c r="Q137" s="1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spans="2:43" s="20" customFormat="1" ht="18.75" x14ac:dyDescent="0.3">
      <c r="B138" s="29"/>
      <c r="F138" s="33"/>
      <c r="G138" s="3"/>
      <c r="H138" s="3"/>
      <c r="I138" s="3"/>
      <c r="J138" s="1"/>
      <c r="K138" s="1"/>
      <c r="L138" s="1"/>
      <c r="M138" s="1"/>
      <c r="N138" s="1"/>
      <c r="O138" s="1"/>
      <c r="P138" s="33"/>
      <c r="Q138" s="1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</sheetData>
  <mergeCells count="23">
    <mergeCell ref="J122:K122"/>
    <mergeCell ref="J124:K124"/>
    <mergeCell ref="Q3:Q4"/>
    <mergeCell ref="R3:R4"/>
    <mergeCell ref="C20:C22"/>
    <mergeCell ref="A67:R67"/>
    <mergeCell ref="A94:R94"/>
    <mergeCell ref="K3:K4"/>
    <mergeCell ref="L3:L4"/>
    <mergeCell ref="M3:M4"/>
    <mergeCell ref="N3:N4"/>
    <mergeCell ref="O3:O4"/>
    <mergeCell ref="P3:P4"/>
    <mergeCell ref="F3:F4"/>
    <mergeCell ref="G3:G4"/>
    <mergeCell ref="I3:I4"/>
    <mergeCell ref="J3:J4"/>
    <mergeCell ref="J120:K120"/>
    <mergeCell ref="A3:A4"/>
    <mergeCell ref="B3:B4"/>
    <mergeCell ref="C3:C4"/>
    <mergeCell ref="D3:D4"/>
    <mergeCell ref="E3:E4"/>
  </mergeCells>
  <printOptions horizontalCentered="1"/>
  <pageMargins left="0.39370078740157483" right="0" top="0" bottom="0" header="0.23622047244094491" footer="0.11811023622047245"/>
  <pageSetup paperSize="8" scale="51" fitToHeight="6" orientation="landscape" horizontalDpi="300" verticalDpi="300" r:id="rId1"/>
  <headerFooter alignWithMargins="0"/>
  <rowBreaks count="1" manualBreakCount="1">
    <brk id="74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9"/>
  <sheetViews>
    <sheetView showGridLines="0" view="pageBreakPreview" zoomScale="60" zoomScaleNormal="75" workbookViewId="0">
      <pane xSplit="3" ySplit="6" topLeftCell="D43" activePane="bottomRight" state="frozen"/>
      <selection activeCell="P126" sqref="P126"/>
      <selection pane="topRight" activeCell="P126" sqref="P126"/>
      <selection pane="bottomLeft" activeCell="P126" sqref="P126"/>
      <selection pane="bottomRight" activeCell="P126" sqref="P126"/>
    </sheetView>
  </sheetViews>
  <sheetFormatPr defaultRowHeight="12.75" x14ac:dyDescent="0.2"/>
  <cols>
    <col min="1" max="1" width="12.28515625" style="20" customWidth="1"/>
    <col min="2" max="2" width="88.57031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8" width="21.28515625" style="3" hidden="1" customWidth="1"/>
    <col min="9" max="9" width="22.140625" style="3" customWidth="1"/>
    <col min="10" max="10" width="22.5703125" style="1" customWidth="1"/>
    <col min="11" max="11" width="14.140625" style="1" bestFit="1" customWidth="1"/>
    <col min="12" max="12" width="23.85546875" style="1" customWidth="1"/>
    <col min="13" max="13" width="25.7109375" style="1" customWidth="1"/>
    <col min="14" max="14" width="14.7109375" style="1" bestFit="1" customWidth="1"/>
    <col min="15" max="15" width="16.140625" style="1" customWidth="1"/>
    <col min="16" max="16" width="23.140625" style="33" customWidth="1"/>
    <col min="17" max="17" width="21.85546875" style="1" customWidth="1"/>
    <col min="18" max="18" width="14.7109375" style="3" bestFit="1" customWidth="1"/>
    <col min="19" max="19" width="22" style="3" bestFit="1" customWidth="1"/>
    <col min="20" max="20" width="19.140625" style="3" bestFit="1" customWidth="1"/>
    <col min="21" max="21" width="15.85546875" style="3" bestFit="1" customWidth="1"/>
    <col min="22" max="22" width="9.140625" style="3"/>
    <col min="23" max="23" width="24.140625" style="3" bestFit="1" customWidth="1"/>
    <col min="24" max="24" width="9.140625" style="3"/>
    <col min="25" max="25" width="15.140625" style="3" bestFit="1" customWidth="1"/>
    <col min="26" max="16384" width="9.140625" style="3"/>
  </cols>
  <sheetData>
    <row r="1" spans="1:33" ht="30" customHeight="1" x14ac:dyDescent="0.2">
      <c r="A1" s="231" t="s">
        <v>207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33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P2" s="107"/>
      <c r="Q2" s="5" t="s">
        <v>14</v>
      </c>
      <c r="R2" s="5"/>
    </row>
    <row r="3" spans="1:33" s="73" customFormat="1" ht="15" customHeight="1" x14ac:dyDescent="0.25">
      <c r="A3" s="232" t="s">
        <v>0</v>
      </c>
      <c r="B3" s="233" t="s">
        <v>1</v>
      </c>
      <c r="C3" s="233" t="s">
        <v>2</v>
      </c>
      <c r="D3" s="229" t="s">
        <v>167</v>
      </c>
      <c r="E3" s="229" t="s">
        <v>146</v>
      </c>
      <c r="F3" s="230" t="s">
        <v>188</v>
      </c>
      <c r="G3" s="244" t="s">
        <v>65</v>
      </c>
      <c r="H3" s="244" t="s">
        <v>187</v>
      </c>
      <c r="I3" s="229" t="s">
        <v>189</v>
      </c>
      <c r="J3" s="229" t="s">
        <v>190</v>
      </c>
      <c r="K3" s="229" t="s">
        <v>3</v>
      </c>
      <c r="L3" s="229" t="s">
        <v>191</v>
      </c>
      <c r="M3" s="229" t="s">
        <v>192</v>
      </c>
      <c r="N3" s="229" t="s">
        <v>3</v>
      </c>
      <c r="O3" s="222" t="s">
        <v>193</v>
      </c>
      <c r="P3" s="230" t="s">
        <v>195</v>
      </c>
      <c r="Q3" s="229" t="s">
        <v>194</v>
      </c>
      <c r="R3" s="229" t="s">
        <v>3</v>
      </c>
    </row>
    <row r="4" spans="1:33" s="73" customFormat="1" ht="79.5" customHeight="1" x14ac:dyDescent="0.25">
      <c r="A4" s="232"/>
      <c r="B4" s="233"/>
      <c r="C4" s="233"/>
      <c r="D4" s="229"/>
      <c r="E4" s="229"/>
      <c r="F4" s="230"/>
      <c r="G4" s="245"/>
      <c r="H4" s="245"/>
      <c r="I4" s="229"/>
      <c r="J4" s="229"/>
      <c r="K4" s="229"/>
      <c r="L4" s="229"/>
      <c r="M4" s="229"/>
      <c r="N4" s="229"/>
      <c r="O4" s="222"/>
      <c r="P4" s="230"/>
      <c r="Q4" s="229"/>
      <c r="R4" s="229"/>
    </row>
    <row r="5" spans="1:33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R5" si="0">D5+1</f>
        <v>5</v>
      </c>
      <c r="F5" s="76">
        <v>5</v>
      </c>
      <c r="G5" s="75">
        <f t="shared" si="0"/>
        <v>6</v>
      </c>
      <c r="H5" s="75">
        <f t="shared" si="0"/>
        <v>7</v>
      </c>
      <c r="I5" s="75">
        <v>6</v>
      </c>
      <c r="J5" s="75">
        <f t="shared" si="0"/>
        <v>7</v>
      </c>
      <c r="K5" s="75">
        <f t="shared" si="0"/>
        <v>8</v>
      </c>
      <c r="L5" s="75">
        <f t="shared" si="0"/>
        <v>9</v>
      </c>
      <c r="M5" s="75">
        <f t="shared" si="0"/>
        <v>10</v>
      </c>
      <c r="N5" s="75">
        <f t="shared" si="0"/>
        <v>11</v>
      </c>
      <c r="O5" s="75">
        <f t="shared" si="0"/>
        <v>12</v>
      </c>
      <c r="P5" s="76">
        <f t="shared" si="0"/>
        <v>13</v>
      </c>
      <c r="Q5" s="75">
        <f t="shared" si="0"/>
        <v>14</v>
      </c>
      <c r="R5" s="75">
        <f t="shared" si="0"/>
        <v>15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s="79" customFormat="1" ht="26.25" customHeight="1" x14ac:dyDescent="0.2">
      <c r="A6" s="248" t="s">
        <v>6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50"/>
    </row>
    <row r="7" spans="1:33" s="84" customFormat="1" ht="44.25" customHeight="1" x14ac:dyDescent="0.25">
      <c r="A7" s="246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>SUM(G7:H7)</f>
        <v>419938.80499999999</v>
      </c>
      <c r="G7" s="128">
        <v>178227.345</v>
      </c>
      <c r="H7" s="128">
        <v>241711.46</v>
      </c>
      <c r="I7" s="130">
        <v>397848.32799999998</v>
      </c>
      <c r="J7" s="131">
        <f t="shared" ref="J7:J47" si="1">F7-I7</f>
        <v>22090.477000000014</v>
      </c>
      <c r="K7" s="132">
        <f>F7/I7*100</f>
        <v>105.55248707743721</v>
      </c>
      <c r="L7" s="131">
        <f>D7/12*2</f>
        <v>476565.57666666666</v>
      </c>
      <c r="M7" s="131">
        <f t="shared" ref="M7:M47" si="2">F7-L7</f>
        <v>-56626.771666666667</v>
      </c>
      <c r="N7" s="132">
        <f t="shared" ref="N7:N40" si="3">F7/L7*100</f>
        <v>88.11773773868812</v>
      </c>
      <c r="O7" s="132">
        <f>F7/D7*100</f>
        <v>14.686289623114687</v>
      </c>
      <c r="P7" s="129">
        <v>326705.473</v>
      </c>
      <c r="Q7" s="131">
        <f t="shared" ref="Q7:Q48" si="4">F7-P7</f>
        <v>93233.331999999995</v>
      </c>
      <c r="R7" s="132">
        <f>F7/P7*100</f>
        <v>128.53742581777931</v>
      </c>
      <c r="S7" s="82"/>
      <c r="T7" s="82"/>
      <c r="U7" s="82">
        <f>S7-T7</f>
        <v>0</v>
      </c>
      <c r="V7" s="83" t="e">
        <f>S7/T7*100</f>
        <v>#DIV/0!</v>
      </c>
    </row>
    <row r="8" spans="1:33" s="84" customFormat="1" ht="52.5" customHeight="1" x14ac:dyDescent="0.25">
      <c r="A8" s="247"/>
      <c r="B8" s="89" t="s">
        <v>206</v>
      </c>
      <c r="C8" s="81" t="s">
        <v>15</v>
      </c>
      <c r="D8" s="128">
        <v>2859393.46</v>
      </c>
      <c r="E8" s="128">
        <v>2398057.0789999999</v>
      </c>
      <c r="F8" s="129">
        <f>SUM(G8:H8)</f>
        <v>419938.80499999999</v>
      </c>
      <c r="G8" s="128">
        <v>178227.345</v>
      </c>
      <c r="H8" s="128">
        <v>241711.46</v>
      </c>
      <c r="I8" s="130">
        <v>397848.32799999998</v>
      </c>
      <c r="J8" s="131">
        <f t="shared" ref="J8" si="5">F8-I8</f>
        <v>22090.477000000014</v>
      </c>
      <c r="K8" s="132">
        <f>F8/I8*100</f>
        <v>105.55248707743721</v>
      </c>
      <c r="L8" s="131">
        <f>D8/12*2</f>
        <v>476565.57666666666</v>
      </c>
      <c r="M8" s="131">
        <f t="shared" ref="M8" si="6">F8-L8</f>
        <v>-56626.771666666667</v>
      </c>
      <c r="N8" s="132">
        <f t="shared" ref="N8" si="7">F8/L8*100</f>
        <v>88.11773773868812</v>
      </c>
      <c r="O8" s="132">
        <f>F8/D8*100</f>
        <v>14.686289623114687</v>
      </c>
      <c r="P8" s="129">
        <f>P7/0.6*64%</f>
        <v>348485.83786666667</v>
      </c>
      <c r="Q8" s="131">
        <f t="shared" ref="Q8" si="8">F8-P8</f>
        <v>71452.967133333324</v>
      </c>
      <c r="R8" s="132">
        <f>F8/P8*100</f>
        <v>120.50383670416809</v>
      </c>
      <c r="S8" s="82"/>
      <c r="T8" s="82"/>
      <c r="U8" s="82"/>
      <c r="V8" s="83"/>
    </row>
    <row r="9" spans="1:33" s="84" customFormat="1" ht="39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ref="F9:F46" si="9">SUM(G9:H9)</f>
        <v>182.398</v>
      </c>
      <c r="G9" s="128">
        <v>2.6560000000000001</v>
      </c>
      <c r="H9" s="128">
        <v>179.74199999999999</v>
      </c>
      <c r="I9" s="130">
        <v>182</v>
      </c>
      <c r="J9" s="131">
        <f t="shared" si="1"/>
        <v>0.39799999999999613</v>
      </c>
      <c r="K9" s="132">
        <f>F9/I9*100</f>
        <v>100.21868131868132</v>
      </c>
      <c r="L9" s="131">
        <f t="shared" ref="L9:L46" si="10">D9/12*2</f>
        <v>168.33333333333334</v>
      </c>
      <c r="M9" s="131">
        <f t="shared" si="2"/>
        <v>14.064666666666653</v>
      </c>
      <c r="N9" s="132">
        <f t="shared" si="3"/>
        <v>108.35524752475247</v>
      </c>
      <c r="O9" s="132">
        <f t="shared" ref="O9:O47" si="11">F9/D9*100</f>
        <v>18.05920792079208</v>
      </c>
      <c r="P9" s="129">
        <v>447.19400000000002</v>
      </c>
      <c r="Q9" s="131">
        <f t="shared" si="4"/>
        <v>-264.79600000000005</v>
      </c>
      <c r="R9" s="132">
        <f>F9/P9*100</f>
        <v>40.787219864309449</v>
      </c>
      <c r="S9" s="82"/>
      <c r="T9" s="82"/>
      <c r="U9" s="82">
        <f>P7/0.5</f>
        <v>653410.946</v>
      </c>
      <c r="V9" s="83">
        <f>T9/U9*100</f>
        <v>0</v>
      </c>
    </row>
    <row r="10" spans="1:33" s="84" customFormat="1" ht="42" customHeight="1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 t="shared" si="9"/>
        <v>159.28100000000001</v>
      </c>
      <c r="G10" s="128">
        <f>SUM(G11:G14)</f>
        <v>1.3639999999999999</v>
      </c>
      <c r="H10" s="128">
        <f>SUM(H11:H14)</f>
        <v>157.917</v>
      </c>
      <c r="I10" s="128">
        <f>SUM(I11:I14)</f>
        <v>158.92000000000002</v>
      </c>
      <c r="J10" s="131">
        <f t="shared" si="1"/>
        <v>0.36099999999999</v>
      </c>
      <c r="K10" s="132">
        <f>F10/I10*100</f>
        <v>100.22715831865088</v>
      </c>
      <c r="L10" s="131">
        <f t="shared" si="10"/>
        <v>80.666666666666671</v>
      </c>
      <c r="M10" s="131">
        <f t="shared" si="2"/>
        <v>78.614333333333335</v>
      </c>
      <c r="N10" s="132">
        <f t="shared" si="3"/>
        <v>197.45578512396693</v>
      </c>
      <c r="O10" s="132">
        <f t="shared" si="11"/>
        <v>32.909297520661156</v>
      </c>
      <c r="P10" s="129">
        <f>SUM(P11:P14)</f>
        <v>122.74199999999999</v>
      </c>
      <c r="Q10" s="131">
        <f t="shared" si="4"/>
        <v>36.539000000000016</v>
      </c>
      <c r="R10" s="132">
        <f>F10/P10*100</f>
        <v>129.76894624496913</v>
      </c>
      <c r="S10" s="82"/>
      <c r="T10" s="82"/>
      <c r="U10" s="82"/>
      <c r="V10" s="83"/>
    </row>
    <row r="11" spans="1:33" s="84" customFormat="1" ht="54" customHeight="1" x14ac:dyDescent="0.25">
      <c r="A11" s="85" t="s">
        <v>114</v>
      </c>
      <c r="B11" s="195" t="s">
        <v>173</v>
      </c>
      <c r="C11" s="200" t="s">
        <v>174</v>
      </c>
      <c r="D11" s="128">
        <v>23</v>
      </c>
      <c r="E11" s="128"/>
      <c r="F11" s="134">
        <f t="shared" si="9"/>
        <v>4.5519999999999996</v>
      </c>
      <c r="G11" s="128">
        <v>0</v>
      </c>
      <c r="H11" s="128">
        <v>4.5519999999999996</v>
      </c>
      <c r="I11" s="130">
        <v>4.5</v>
      </c>
      <c r="J11" s="131">
        <f t="shared" si="1"/>
        <v>5.1999999999999602E-2</v>
      </c>
      <c r="K11" s="132"/>
      <c r="L11" s="131">
        <f t="shared" si="10"/>
        <v>3.8333333333333335</v>
      </c>
      <c r="M11" s="131">
        <f t="shared" si="2"/>
        <v>0.71866666666666612</v>
      </c>
      <c r="N11" s="132"/>
      <c r="O11" s="132">
        <f t="shared" si="11"/>
        <v>19.791304347826085</v>
      </c>
      <c r="P11" s="129">
        <v>8.5109999999999992</v>
      </c>
      <c r="Q11" s="131">
        <f t="shared" si="4"/>
        <v>-3.9589999999999996</v>
      </c>
      <c r="R11" s="132"/>
      <c r="S11" s="82"/>
      <c r="T11" s="82"/>
      <c r="U11" s="82"/>
      <c r="V11" s="83"/>
    </row>
    <row r="12" spans="1:33" s="88" customFormat="1" ht="69.75" customHeight="1" x14ac:dyDescent="0.25">
      <c r="A12" s="85" t="s">
        <v>115</v>
      </c>
      <c r="B12" s="195" t="s">
        <v>107</v>
      </c>
      <c r="C12" s="72" t="s">
        <v>108</v>
      </c>
      <c r="D12" s="133">
        <v>160</v>
      </c>
      <c r="E12" s="133">
        <v>166.79</v>
      </c>
      <c r="F12" s="134">
        <f t="shared" si="9"/>
        <v>69.736000000000004</v>
      </c>
      <c r="G12" s="133">
        <v>0</v>
      </c>
      <c r="H12" s="133">
        <v>69.736000000000004</v>
      </c>
      <c r="I12" s="135">
        <v>69.7</v>
      </c>
      <c r="J12" s="136">
        <f t="shared" si="1"/>
        <v>3.6000000000001364E-2</v>
      </c>
      <c r="K12" s="137"/>
      <c r="L12" s="136">
        <f t="shared" si="10"/>
        <v>26.666666666666668</v>
      </c>
      <c r="M12" s="136">
        <f t="shared" si="2"/>
        <v>43.069333333333333</v>
      </c>
      <c r="N12" s="137">
        <f t="shared" si="3"/>
        <v>261.51</v>
      </c>
      <c r="O12" s="137">
        <f t="shared" si="11"/>
        <v>43.585000000000001</v>
      </c>
      <c r="P12" s="134">
        <v>53.468000000000004</v>
      </c>
      <c r="Q12" s="136">
        <f t="shared" si="4"/>
        <v>16.268000000000001</v>
      </c>
      <c r="R12" s="137"/>
    </row>
    <row r="13" spans="1:33" s="88" customFormat="1" ht="54" customHeight="1" x14ac:dyDescent="0.25">
      <c r="A13" s="85" t="s">
        <v>116</v>
      </c>
      <c r="B13" s="195" t="s">
        <v>149</v>
      </c>
      <c r="C13" s="72" t="s">
        <v>111</v>
      </c>
      <c r="D13" s="133">
        <v>86</v>
      </c>
      <c r="E13" s="133">
        <v>82.45</v>
      </c>
      <c r="F13" s="134">
        <f t="shared" si="9"/>
        <v>20.954000000000001</v>
      </c>
      <c r="G13" s="133">
        <v>0.96</v>
      </c>
      <c r="H13" s="133">
        <v>19.994</v>
      </c>
      <c r="I13" s="135">
        <v>20.72</v>
      </c>
      <c r="J13" s="136">
        <f t="shared" si="1"/>
        <v>0.23400000000000176</v>
      </c>
      <c r="K13" s="137">
        <f>F13/I13*100</f>
        <v>101.12934362934365</v>
      </c>
      <c r="L13" s="136">
        <f t="shared" si="10"/>
        <v>14.333333333333334</v>
      </c>
      <c r="M13" s="136">
        <f t="shared" si="2"/>
        <v>6.6206666666666667</v>
      </c>
      <c r="N13" s="137">
        <f t="shared" si="3"/>
        <v>146.1906976744186</v>
      </c>
      <c r="O13" s="137">
        <f t="shared" si="11"/>
        <v>24.365116279069767</v>
      </c>
      <c r="P13" s="134">
        <v>16.735000000000003</v>
      </c>
      <c r="Q13" s="136">
        <f t="shared" si="4"/>
        <v>4.2189999999999976</v>
      </c>
      <c r="R13" s="137">
        <f>F13/P13*100</f>
        <v>125.2106363907977</v>
      </c>
    </row>
    <row r="14" spans="1:33" s="88" customFormat="1" ht="51.75" customHeight="1" x14ac:dyDescent="0.25">
      <c r="A14" s="85" t="s">
        <v>175</v>
      </c>
      <c r="B14" s="195" t="s">
        <v>148</v>
      </c>
      <c r="C14" s="72" t="s">
        <v>147</v>
      </c>
      <c r="D14" s="133">
        <v>215</v>
      </c>
      <c r="E14" s="133">
        <v>257.64</v>
      </c>
      <c r="F14" s="134">
        <f t="shared" si="9"/>
        <v>64.039000000000001</v>
      </c>
      <c r="G14" s="133">
        <v>0.40400000000000003</v>
      </c>
      <c r="H14" s="133">
        <v>63.634999999999998</v>
      </c>
      <c r="I14" s="135">
        <v>64</v>
      </c>
      <c r="J14" s="136">
        <f t="shared" si="1"/>
        <v>3.9000000000001478E-2</v>
      </c>
      <c r="K14" s="137">
        <f>F14/I14*100</f>
        <v>100.06093750000001</v>
      </c>
      <c r="L14" s="136">
        <f t="shared" si="10"/>
        <v>35.833333333333336</v>
      </c>
      <c r="M14" s="136">
        <f t="shared" si="2"/>
        <v>28.205666666666666</v>
      </c>
      <c r="N14" s="137">
        <f t="shared" si="3"/>
        <v>178.71348837209302</v>
      </c>
      <c r="O14" s="137">
        <f t="shared" si="11"/>
        <v>29.785581395348835</v>
      </c>
      <c r="P14" s="134">
        <v>44.027999999999999</v>
      </c>
      <c r="Q14" s="136">
        <f t="shared" si="4"/>
        <v>20.011000000000003</v>
      </c>
      <c r="R14" s="137">
        <f>F14/P14*100</f>
        <v>145.45062233124375</v>
      </c>
    </row>
    <row r="15" spans="1:33" s="84" customFormat="1" ht="43.5" customHeight="1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9"/>
        <v>21274.194</v>
      </c>
      <c r="G15" s="128">
        <f t="shared" ref="G15:I15" si="12">SUM(G16:G18)</f>
        <v>13827.143</v>
      </c>
      <c r="H15" s="128">
        <f t="shared" si="12"/>
        <v>7447.0510000000004</v>
      </c>
      <c r="I15" s="130">
        <f t="shared" si="12"/>
        <v>18900</v>
      </c>
      <c r="J15" s="131">
        <f t="shared" si="1"/>
        <v>2374.1939999999995</v>
      </c>
      <c r="K15" s="132">
        <f>F15/I15*100</f>
        <v>112.56187301587302</v>
      </c>
      <c r="L15" s="131">
        <f t="shared" si="10"/>
        <v>47166.666666666664</v>
      </c>
      <c r="M15" s="131">
        <f t="shared" si="2"/>
        <v>-25892.472666666665</v>
      </c>
      <c r="N15" s="132">
        <f t="shared" si="3"/>
        <v>45.104298233215552</v>
      </c>
      <c r="O15" s="132">
        <f t="shared" si="11"/>
        <v>7.5173830388692577</v>
      </c>
      <c r="P15" s="129">
        <f t="shared" ref="P15" si="13">SUM(P16:P18)</f>
        <v>15822.485000000001</v>
      </c>
      <c r="Q15" s="131">
        <f t="shared" si="4"/>
        <v>5451.7089999999989</v>
      </c>
      <c r="R15" s="132">
        <f>F15/P15*100</f>
        <v>134.4554537419375</v>
      </c>
    </row>
    <row r="16" spans="1:33" s="88" customFormat="1" ht="46.5" customHeight="1" x14ac:dyDescent="0.25">
      <c r="A16" s="85" t="s">
        <v>129</v>
      </c>
      <c r="B16" s="195" t="s">
        <v>101</v>
      </c>
      <c r="C16" s="72" t="s">
        <v>93</v>
      </c>
      <c r="D16" s="133">
        <v>32000</v>
      </c>
      <c r="E16" s="133">
        <v>25500</v>
      </c>
      <c r="F16" s="134">
        <f t="shared" si="9"/>
        <v>0</v>
      </c>
      <c r="G16" s="133">
        <v>0</v>
      </c>
      <c r="H16" s="133">
        <v>0</v>
      </c>
      <c r="I16" s="135">
        <v>0</v>
      </c>
      <c r="J16" s="136">
        <f t="shared" si="1"/>
        <v>0</v>
      </c>
      <c r="K16" s="137"/>
      <c r="L16" s="136">
        <f t="shared" si="10"/>
        <v>5333.333333333333</v>
      </c>
      <c r="M16" s="136">
        <f t="shared" si="2"/>
        <v>-5333.333333333333</v>
      </c>
      <c r="N16" s="137">
        <f t="shared" si="3"/>
        <v>0</v>
      </c>
      <c r="O16" s="137">
        <f t="shared" si="11"/>
        <v>0</v>
      </c>
      <c r="P16" s="134">
        <v>0</v>
      </c>
      <c r="Q16" s="136">
        <f t="shared" si="4"/>
        <v>0</v>
      </c>
      <c r="R16" s="137"/>
      <c r="S16" s="86">
        <f>P16+P17</f>
        <v>0</v>
      </c>
      <c r="T16" s="86">
        <f>F16+F17</f>
        <v>0</v>
      </c>
    </row>
    <row r="17" spans="1:21" s="88" customFormat="1" ht="54" customHeight="1" x14ac:dyDescent="0.25">
      <c r="A17" s="85" t="s">
        <v>130</v>
      </c>
      <c r="B17" s="195" t="s">
        <v>102</v>
      </c>
      <c r="C17" s="72" t="s">
        <v>94</v>
      </c>
      <c r="D17" s="133">
        <v>106000</v>
      </c>
      <c r="E17" s="133">
        <v>87500</v>
      </c>
      <c r="F17" s="134">
        <f t="shared" si="9"/>
        <v>0</v>
      </c>
      <c r="G17" s="133">
        <v>0</v>
      </c>
      <c r="H17" s="133">
        <v>0</v>
      </c>
      <c r="I17" s="135">
        <v>0</v>
      </c>
      <c r="J17" s="136">
        <f t="shared" si="1"/>
        <v>0</v>
      </c>
      <c r="K17" s="137"/>
      <c r="L17" s="136">
        <f t="shared" si="10"/>
        <v>17666.666666666668</v>
      </c>
      <c r="M17" s="136">
        <f t="shared" si="2"/>
        <v>-17666.666666666668</v>
      </c>
      <c r="N17" s="137">
        <f t="shared" si="3"/>
        <v>0</v>
      </c>
      <c r="O17" s="137">
        <f t="shared" si="11"/>
        <v>0</v>
      </c>
      <c r="P17" s="134">
        <v>0</v>
      </c>
      <c r="Q17" s="136">
        <f t="shared" si="4"/>
        <v>0</v>
      </c>
      <c r="R17" s="137"/>
    </row>
    <row r="18" spans="1:21" s="88" customFormat="1" ht="39" x14ac:dyDescent="0.25">
      <c r="A18" s="85" t="s">
        <v>131</v>
      </c>
      <c r="B18" s="195" t="s">
        <v>103</v>
      </c>
      <c r="C18" s="72" t="s">
        <v>58</v>
      </c>
      <c r="D18" s="133">
        <v>145000</v>
      </c>
      <c r="E18" s="133">
        <v>134766</v>
      </c>
      <c r="F18" s="134">
        <f t="shared" si="9"/>
        <v>21274.194</v>
      </c>
      <c r="G18" s="133">
        <v>13827.143</v>
      </c>
      <c r="H18" s="133">
        <v>7447.0510000000004</v>
      </c>
      <c r="I18" s="135">
        <v>18900</v>
      </c>
      <c r="J18" s="136">
        <f t="shared" si="1"/>
        <v>2374.1939999999995</v>
      </c>
      <c r="K18" s="137">
        <f t="shared" ref="K18:K27" si="14">F18/I18*100</f>
        <v>112.56187301587302</v>
      </c>
      <c r="L18" s="136">
        <f t="shared" si="10"/>
        <v>24166.666666666668</v>
      </c>
      <c r="M18" s="136">
        <f t="shared" si="2"/>
        <v>-2892.4726666666684</v>
      </c>
      <c r="N18" s="137">
        <f t="shared" si="3"/>
        <v>88.031147586206899</v>
      </c>
      <c r="O18" s="137">
        <f t="shared" si="11"/>
        <v>14.671857931034483</v>
      </c>
      <c r="P18" s="134">
        <v>15822.485000000001</v>
      </c>
      <c r="Q18" s="136">
        <f t="shared" si="4"/>
        <v>5451.7089999999989</v>
      </c>
      <c r="R18" s="137">
        <f t="shared" ref="R18:R25" si="15">F18/P18*100</f>
        <v>134.4554537419375</v>
      </c>
    </row>
    <row r="19" spans="1:21" s="115" customFormat="1" ht="36" customHeight="1" x14ac:dyDescent="0.25">
      <c r="A19" s="80">
        <v>5</v>
      </c>
      <c r="B19" s="89" t="s">
        <v>196</v>
      </c>
      <c r="C19" s="81" t="s">
        <v>197</v>
      </c>
      <c r="D19" s="128">
        <v>0</v>
      </c>
      <c r="E19" s="128"/>
      <c r="F19" s="129">
        <f t="shared" si="9"/>
        <v>4.5270000000000001</v>
      </c>
      <c r="G19" s="128">
        <v>0</v>
      </c>
      <c r="H19" s="128">
        <v>4.5270000000000001</v>
      </c>
      <c r="I19" s="130">
        <v>0</v>
      </c>
      <c r="J19" s="131">
        <f t="shared" si="1"/>
        <v>4.5270000000000001</v>
      </c>
      <c r="K19" s="132"/>
      <c r="L19" s="131">
        <f t="shared" si="10"/>
        <v>0</v>
      </c>
      <c r="M19" s="131">
        <f t="shared" si="2"/>
        <v>4.5270000000000001</v>
      </c>
      <c r="N19" s="132"/>
      <c r="O19" s="132"/>
      <c r="P19" s="129">
        <v>0</v>
      </c>
      <c r="Q19" s="131">
        <f t="shared" si="4"/>
        <v>4.5270000000000001</v>
      </c>
      <c r="R19" s="132"/>
      <c r="S19" s="166"/>
      <c r="T19" s="166"/>
    </row>
    <row r="20" spans="1:21" s="115" customFormat="1" ht="50.25" customHeight="1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>E21+E22+E23+E25+E24</f>
        <v>1024661.45</v>
      </c>
      <c r="F20" s="129">
        <f t="shared" si="9"/>
        <v>228518.16700000002</v>
      </c>
      <c r="G20" s="128">
        <f t="shared" ref="G20:I20" si="16">G21+G22+G23+G25+G24</f>
        <v>103730.772</v>
      </c>
      <c r="H20" s="128">
        <f t="shared" si="16"/>
        <v>124787.395</v>
      </c>
      <c r="I20" s="130">
        <f t="shared" si="16"/>
        <v>223204.9</v>
      </c>
      <c r="J20" s="131">
        <f t="shared" si="1"/>
        <v>5313.2670000000217</v>
      </c>
      <c r="K20" s="132">
        <f t="shared" si="14"/>
        <v>102.38044370889708</v>
      </c>
      <c r="L20" s="131">
        <f t="shared" si="10"/>
        <v>191414.37249999997</v>
      </c>
      <c r="M20" s="131">
        <f t="shared" si="2"/>
        <v>37103.794500000047</v>
      </c>
      <c r="N20" s="132">
        <f t="shared" si="3"/>
        <v>119.38401699694732</v>
      </c>
      <c r="O20" s="132">
        <f t="shared" si="11"/>
        <v>19.897336166157885</v>
      </c>
      <c r="P20" s="129">
        <f t="shared" ref="P20" si="17">P21+P22+P23+P25+P24</f>
        <v>186758.76199999999</v>
      </c>
      <c r="Q20" s="131">
        <f t="shared" si="4"/>
        <v>41759.405000000028</v>
      </c>
      <c r="R20" s="132">
        <f t="shared" si="15"/>
        <v>122.36007807762188</v>
      </c>
      <c r="S20" s="166">
        <f>P22+P23+P21</f>
        <v>49875.543999999994</v>
      </c>
      <c r="T20" s="166">
        <f>F21+F22+F23</f>
        <v>53430.395000000004</v>
      </c>
    </row>
    <row r="21" spans="1:21" s="117" customFormat="1" ht="34.5" customHeight="1" x14ac:dyDescent="0.25">
      <c r="A21" s="116" t="s">
        <v>141</v>
      </c>
      <c r="B21" s="196" t="s">
        <v>59</v>
      </c>
      <c r="C21" s="237" t="s">
        <v>46</v>
      </c>
      <c r="D21" s="133">
        <v>116436.235</v>
      </c>
      <c r="E21" s="133">
        <v>92667.25</v>
      </c>
      <c r="F21" s="134">
        <f t="shared" si="9"/>
        <v>17518.294000000002</v>
      </c>
      <c r="G21" s="133">
        <v>13619.357</v>
      </c>
      <c r="H21" s="133">
        <v>3898.9369999999999</v>
      </c>
      <c r="I21" s="135">
        <v>17157</v>
      </c>
      <c r="J21" s="136">
        <f t="shared" si="1"/>
        <v>361.29400000000169</v>
      </c>
      <c r="K21" s="137">
        <f t="shared" si="14"/>
        <v>102.10581103922598</v>
      </c>
      <c r="L21" s="164">
        <f t="shared" si="10"/>
        <v>19406.039166666666</v>
      </c>
      <c r="M21" s="136">
        <f t="shared" si="2"/>
        <v>-1887.7451666666639</v>
      </c>
      <c r="N21" s="137">
        <f t="shared" si="3"/>
        <v>90.272382991428756</v>
      </c>
      <c r="O21" s="137">
        <f t="shared" si="11"/>
        <v>15.045397165238125</v>
      </c>
      <c r="P21" s="134">
        <v>12759.032999999999</v>
      </c>
      <c r="Q21" s="136">
        <f t="shared" si="4"/>
        <v>4759.2610000000022</v>
      </c>
      <c r="R21" s="137">
        <f t="shared" si="15"/>
        <v>137.30111051519344</v>
      </c>
    </row>
    <row r="22" spans="1:21" s="117" customFormat="1" ht="34.5" customHeight="1" x14ac:dyDescent="0.25">
      <c r="A22" s="85" t="s">
        <v>142</v>
      </c>
      <c r="B22" s="196" t="s">
        <v>7</v>
      </c>
      <c r="C22" s="237"/>
      <c r="D22" s="133">
        <v>271200</v>
      </c>
      <c r="E22" s="133">
        <v>300000</v>
      </c>
      <c r="F22" s="134">
        <f t="shared" si="9"/>
        <v>35560.785000000003</v>
      </c>
      <c r="G22" s="133">
        <v>16688.975999999999</v>
      </c>
      <c r="H22" s="133">
        <v>18871.809000000001</v>
      </c>
      <c r="I22" s="135">
        <v>31285</v>
      </c>
      <c r="J22" s="136">
        <f t="shared" si="1"/>
        <v>4275.7850000000035</v>
      </c>
      <c r="K22" s="137">
        <f t="shared" si="14"/>
        <v>113.66720473070163</v>
      </c>
      <c r="L22" s="131">
        <f t="shared" si="10"/>
        <v>45200</v>
      </c>
      <c r="M22" s="136">
        <f t="shared" si="2"/>
        <v>-9639.2149999999965</v>
      </c>
      <c r="N22" s="137">
        <f t="shared" si="3"/>
        <v>78.674303097345145</v>
      </c>
      <c r="O22" s="137">
        <f t="shared" si="11"/>
        <v>13.112383849557524</v>
      </c>
      <c r="P22" s="134">
        <v>36743.26</v>
      </c>
      <c r="Q22" s="136">
        <f t="shared" si="4"/>
        <v>-1182.4749999999985</v>
      </c>
      <c r="R22" s="137">
        <f t="shared" si="15"/>
        <v>96.781790728422038</v>
      </c>
    </row>
    <row r="23" spans="1:21" s="117" customFormat="1" ht="34.5" customHeight="1" x14ac:dyDescent="0.25">
      <c r="A23" s="85" t="s">
        <v>143</v>
      </c>
      <c r="B23" s="196" t="s">
        <v>60</v>
      </c>
      <c r="C23" s="237"/>
      <c r="D23" s="133">
        <v>1200</v>
      </c>
      <c r="E23" s="133">
        <v>475</v>
      </c>
      <c r="F23" s="134">
        <f t="shared" si="9"/>
        <v>351.31600000000003</v>
      </c>
      <c r="G23" s="133">
        <v>247.57300000000001</v>
      </c>
      <c r="H23" s="133">
        <v>103.74299999999999</v>
      </c>
      <c r="I23" s="135">
        <v>350</v>
      </c>
      <c r="J23" s="136">
        <f t="shared" si="1"/>
        <v>1.3160000000000309</v>
      </c>
      <c r="K23" s="137">
        <f t="shared" si="14"/>
        <v>100.376</v>
      </c>
      <c r="L23" s="131">
        <f t="shared" si="10"/>
        <v>200</v>
      </c>
      <c r="M23" s="136">
        <f t="shared" si="2"/>
        <v>151.31600000000003</v>
      </c>
      <c r="N23" s="137">
        <f t="shared" si="3"/>
        <v>175.65800000000002</v>
      </c>
      <c r="O23" s="137">
        <f t="shared" si="11"/>
        <v>29.276333333333337</v>
      </c>
      <c r="P23" s="134">
        <v>373.25099999999998</v>
      </c>
      <c r="Q23" s="136">
        <f t="shared" si="4"/>
        <v>-21.934999999999945</v>
      </c>
      <c r="R23" s="137">
        <f t="shared" si="15"/>
        <v>94.123257539832466</v>
      </c>
      <c r="S23" s="137">
        <f>100-R23</f>
        <v>5.8767424601675344</v>
      </c>
      <c r="T23" s="118"/>
      <c r="U23" s="119" t="e">
        <f>F21/#REF!*100</f>
        <v>#REF!</v>
      </c>
    </row>
    <row r="24" spans="1:21" s="121" customFormat="1" ht="34.5" customHeight="1" x14ac:dyDescent="0.25">
      <c r="A24" s="85" t="s">
        <v>144</v>
      </c>
      <c r="B24" s="196" t="s">
        <v>42</v>
      </c>
      <c r="C24" s="120" t="s">
        <v>41</v>
      </c>
      <c r="D24" s="133">
        <v>2050</v>
      </c>
      <c r="E24" s="133">
        <v>950</v>
      </c>
      <c r="F24" s="134">
        <f t="shared" si="9"/>
        <v>253.066</v>
      </c>
      <c r="G24" s="133">
        <v>94</v>
      </c>
      <c r="H24" s="133">
        <v>159.066</v>
      </c>
      <c r="I24" s="135">
        <v>251.9</v>
      </c>
      <c r="J24" s="136">
        <f t="shared" si="1"/>
        <v>1.1659999999999968</v>
      </c>
      <c r="K24" s="137">
        <f t="shared" si="14"/>
        <v>100.46288209606986</v>
      </c>
      <c r="L24" s="131">
        <f t="shared" si="10"/>
        <v>341.66666666666669</v>
      </c>
      <c r="M24" s="136">
        <f t="shared" si="2"/>
        <v>-88.600666666666683</v>
      </c>
      <c r="N24" s="137">
        <f t="shared" si="3"/>
        <v>74.068097560975616</v>
      </c>
      <c r="O24" s="137">
        <f t="shared" si="11"/>
        <v>12.344682926829268</v>
      </c>
      <c r="P24" s="134">
        <v>194.29400000000001</v>
      </c>
      <c r="Q24" s="133">
        <f t="shared" si="4"/>
        <v>58.771999999999991</v>
      </c>
      <c r="R24" s="137">
        <f t="shared" si="15"/>
        <v>130.24900408659042</v>
      </c>
    </row>
    <row r="25" spans="1:21" s="117" customFormat="1" ht="34.5" customHeight="1" x14ac:dyDescent="0.25">
      <c r="A25" s="85" t="s">
        <v>208</v>
      </c>
      <c r="B25" s="196" t="s">
        <v>35</v>
      </c>
      <c r="C25" s="160" t="s">
        <v>36</v>
      </c>
      <c r="D25" s="133">
        <v>757600</v>
      </c>
      <c r="E25" s="133">
        <v>630569.19999999995</v>
      </c>
      <c r="F25" s="134">
        <f t="shared" si="9"/>
        <v>174834.70600000001</v>
      </c>
      <c r="G25" s="133">
        <v>73080.865999999995</v>
      </c>
      <c r="H25" s="133">
        <v>101753.84</v>
      </c>
      <c r="I25" s="135">
        <v>174161</v>
      </c>
      <c r="J25" s="136">
        <f t="shared" si="1"/>
        <v>673.70600000000559</v>
      </c>
      <c r="K25" s="137">
        <f t="shared" si="14"/>
        <v>100.3868294279431</v>
      </c>
      <c r="L25" s="131">
        <f t="shared" si="10"/>
        <v>126266.66666666667</v>
      </c>
      <c r="M25" s="136">
        <f t="shared" si="2"/>
        <v>48568.039333333334</v>
      </c>
      <c r="N25" s="137">
        <f t="shared" si="3"/>
        <v>138.46465628299893</v>
      </c>
      <c r="O25" s="137">
        <f t="shared" si="11"/>
        <v>23.077442713833157</v>
      </c>
      <c r="P25" s="134">
        <v>136688.924</v>
      </c>
      <c r="Q25" s="136">
        <f t="shared" si="4"/>
        <v>38145.782000000007</v>
      </c>
      <c r="R25" s="137">
        <f t="shared" si="15"/>
        <v>127.90700291122346</v>
      </c>
      <c r="T25" s="118"/>
      <c r="U25" s="119" t="e">
        <f>F25/#REF!*100</f>
        <v>#REF!</v>
      </c>
    </row>
    <row r="26" spans="1:21" s="84" customFormat="1" ht="58.5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v>450</v>
      </c>
      <c r="F26" s="129">
        <f t="shared" si="9"/>
        <v>42.091999999999999</v>
      </c>
      <c r="G26" s="128">
        <v>1.284</v>
      </c>
      <c r="H26" s="128">
        <v>40.808</v>
      </c>
      <c r="I26" s="130">
        <v>42</v>
      </c>
      <c r="J26" s="131">
        <f t="shared" si="1"/>
        <v>9.1999999999998749E-2</v>
      </c>
      <c r="K26" s="132">
        <f t="shared" si="14"/>
        <v>100.21904761904761</v>
      </c>
      <c r="L26" s="131">
        <f t="shared" si="10"/>
        <v>158.33333333333334</v>
      </c>
      <c r="M26" s="131">
        <f t="shared" si="2"/>
        <v>-116.24133333333334</v>
      </c>
      <c r="N26" s="132">
        <f t="shared" si="3"/>
        <v>26.584421052631573</v>
      </c>
      <c r="O26" s="132">
        <f t="shared" si="11"/>
        <v>4.4307368421052633</v>
      </c>
      <c r="P26" s="129">
        <v>73.488</v>
      </c>
      <c r="Q26" s="131">
        <f t="shared" si="4"/>
        <v>-31.396000000000001</v>
      </c>
      <c r="R26" s="132">
        <f>F26/P26*100</f>
        <v>57.277378619638576</v>
      </c>
      <c r="S26" s="83">
        <f>100-R26</f>
        <v>42.722621380361424</v>
      </c>
    </row>
    <row r="27" spans="1:21" s="84" customFormat="1" ht="30.75" customHeight="1" x14ac:dyDescent="0.25">
      <c r="A27" s="80">
        <f t="shared" ref="A27:A34" si="18">A26+1</f>
        <v>8</v>
      </c>
      <c r="B27" s="89" t="s">
        <v>76</v>
      </c>
      <c r="C27" s="81" t="s">
        <v>75</v>
      </c>
      <c r="D27" s="128">
        <v>12000</v>
      </c>
      <c r="E27" s="128">
        <v>12000</v>
      </c>
      <c r="F27" s="129">
        <f t="shared" si="9"/>
        <v>1740.826</v>
      </c>
      <c r="G27" s="128">
        <v>501.13</v>
      </c>
      <c r="H27" s="128">
        <v>1239.6959999999999</v>
      </c>
      <c r="I27" s="130">
        <v>900</v>
      </c>
      <c r="J27" s="131">
        <f t="shared" si="1"/>
        <v>840.82600000000002</v>
      </c>
      <c r="K27" s="132">
        <f t="shared" si="14"/>
        <v>193.42511111111111</v>
      </c>
      <c r="L27" s="131">
        <f t="shared" si="10"/>
        <v>2000</v>
      </c>
      <c r="M27" s="131">
        <f t="shared" si="2"/>
        <v>-259.17399999999998</v>
      </c>
      <c r="N27" s="132">
        <f t="shared" si="3"/>
        <v>87.041299999999993</v>
      </c>
      <c r="O27" s="132">
        <f t="shared" si="11"/>
        <v>14.506883333333334</v>
      </c>
      <c r="P27" s="129">
        <v>1804.136</v>
      </c>
      <c r="Q27" s="131">
        <f t="shared" si="4"/>
        <v>-63.309999999999945</v>
      </c>
      <c r="R27" s="132">
        <f>F27/P27*100</f>
        <v>96.490841045242718</v>
      </c>
    </row>
    <row r="28" spans="1:21" s="84" customFormat="1" ht="43.5" customHeight="1" x14ac:dyDescent="0.25">
      <c r="A28" s="80">
        <f t="shared" si="18"/>
        <v>9</v>
      </c>
      <c r="B28" s="89" t="s">
        <v>8</v>
      </c>
      <c r="C28" s="81" t="s">
        <v>19</v>
      </c>
      <c r="D28" s="128">
        <v>6.1</v>
      </c>
      <c r="E28" s="128">
        <v>5.5</v>
      </c>
      <c r="F28" s="129">
        <f t="shared" si="9"/>
        <v>0</v>
      </c>
      <c r="G28" s="128">
        <v>0</v>
      </c>
      <c r="H28" s="128"/>
      <c r="I28" s="130">
        <v>0</v>
      </c>
      <c r="J28" s="131">
        <f t="shared" si="1"/>
        <v>0</v>
      </c>
      <c r="K28" s="132"/>
      <c r="L28" s="131">
        <f t="shared" si="10"/>
        <v>1.0166666666666666</v>
      </c>
      <c r="M28" s="131">
        <f t="shared" si="2"/>
        <v>-1.0166666666666666</v>
      </c>
      <c r="N28" s="132">
        <f t="shared" si="3"/>
        <v>0</v>
      </c>
      <c r="O28" s="132">
        <f t="shared" si="11"/>
        <v>0</v>
      </c>
      <c r="P28" s="129">
        <v>0.38100000000000001</v>
      </c>
      <c r="Q28" s="131">
        <f t="shared" si="4"/>
        <v>-0.38100000000000001</v>
      </c>
      <c r="R28" s="132"/>
    </row>
    <row r="29" spans="1:21" s="84" customFormat="1" ht="98.25" customHeight="1" x14ac:dyDescent="0.25">
      <c r="A29" s="80">
        <f t="shared" si="18"/>
        <v>10</v>
      </c>
      <c r="B29" s="207" t="s">
        <v>97</v>
      </c>
      <c r="C29" s="109" t="s">
        <v>98</v>
      </c>
      <c r="D29" s="128">
        <v>0.05</v>
      </c>
      <c r="E29" s="128">
        <v>4.5</v>
      </c>
      <c r="F29" s="129">
        <f t="shared" si="9"/>
        <v>5.1849999999999996</v>
      </c>
      <c r="G29" s="128">
        <v>5.1849999999999996</v>
      </c>
      <c r="H29" s="128"/>
      <c r="I29" s="130">
        <v>0.05</v>
      </c>
      <c r="J29" s="131">
        <f t="shared" si="1"/>
        <v>5.1349999999999998</v>
      </c>
      <c r="K29" s="132">
        <f t="shared" ref="K29:K40" si="19">F29/I29*100</f>
        <v>10369.999999999998</v>
      </c>
      <c r="L29" s="131">
        <f t="shared" si="10"/>
        <v>8.3333333333333332E-3</v>
      </c>
      <c r="M29" s="131">
        <f t="shared" si="2"/>
        <v>5.1766666666666659</v>
      </c>
      <c r="N29" s="132">
        <f t="shared" si="3"/>
        <v>62219.999999999993</v>
      </c>
      <c r="O29" s="132">
        <f t="shared" si="11"/>
        <v>10369.999999999998</v>
      </c>
      <c r="P29" s="129">
        <v>0</v>
      </c>
      <c r="Q29" s="131">
        <f t="shared" si="4"/>
        <v>5.1849999999999996</v>
      </c>
      <c r="R29" s="132"/>
    </row>
    <row r="30" spans="1:21" s="84" customFormat="1" ht="35.25" customHeight="1" x14ac:dyDescent="0.25">
      <c r="A30" s="80">
        <f t="shared" si="18"/>
        <v>11</v>
      </c>
      <c r="B30" s="147" t="s">
        <v>32</v>
      </c>
      <c r="C30" s="81" t="s">
        <v>25</v>
      </c>
      <c r="D30" s="128">
        <v>14300</v>
      </c>
      <c r="E30" s="128">
        <v>8804.73</v>
      </c>
      <c r="F30" s="129">
        <f t="shared" si="9"/>
        <v>2176.3469999999998</v>
      </c>
      <c r="G30" s="128">
        <v>1031.287</v>
      </c>
      <c r="H30" s="128">
        <v>1145.06</v>
      </c>
      <c r="I30" s="130">
        <v>2150</v>
      </c>
      <c r="J30" s="131">
        <f t="shared" si="1"/>
        <v>26.346999999999753</v>
      </c>
      <c r="K30" s="132">
        <f t="shared" si="19"/>
        <v>101.22544186046511</v>
      </c>
      <c r="L30" s="131">
        <f t="shared" si="10"/>
        <v>2383.3333333333335</v>
      </c>
      <c r="M30" s="131">
        <f t="shared" si="2"/>
        <v>-206.98633333333373</v>
      </c>
      <c r="N30" s="132">
        <f t="shared" si="3"/>
        <v>91.315258741258717</v>
      </c>
      <c r="O30" s="132">
        <f t="shared" si="11"/>
        <v>15.21920979020979</v>
      </c>
      <c r="P30" s="129">
        <v>1192.663</v>
      </c>
      <c r="Q30" s="131">
        <f t="shared" si="4"/>
        <v>983.68399999999974</v>
      </c>
      <c r="R30" s="132">
        <f t="shared" ref="R30:R40" si="20">F30/P30*100</f>
        <v>182.47795060297835</v>
      </c>
      <c r="S30" s="83">
        <f>100-R30</f>
        <v>-82.477950602978353</v>
      </c>
    </row>
    <row r="31" spans="1:21" s="84" customFormat="1" ht="72.75" customHeight="1" x14ac:dyDescent="0.25">
      <c r="A31" s="80">
        <f t="shared" si="18"/>
        <v>12</v>
      </c>
      <c r="B31" s="147" t="s">
        <v>87</v>
      </c>
      <c r="C31" s="81" t="s">
        <v>86</v>
      </c>
      <c r="D31" s="128">
        <v>560</v>
      </c>
      <c r="E31" s="128">
        <v>410</v>
      </c>
      <c r="F31" s="129">
        <f t="shared" si="9"/>
        <v>86.576000000000008</v>
      </c>
      <c r="G31" s="128">
        <v>79.635000000000005</v>
      </c>
      <c r="H31" s="128">
        <v>6.9409999999999998</v>
      </c>
      <c r="I31" s="130">
        <v>86</v>
      </c>
      <c r="J31" s="131">
        <f t="shared" si="1"/>
        <v>0.57600000000000762</v>
      </c>
      <c r="K31" s="132">
        <f t="shared" si="19"/>
        <v>100.66976744186047</v>
      </c>
      <c r="L31" s="131">
        <f t="shared" si="10"/>
        <v>93.333333333333329</v>
      </c>
      <c r="M31" s="131">
        <f t="shared" si="2"/>
        <v>-6.757333333333321</v>
      </c>
      <c r="N31" s="132">
        <f t="shared" si="3"/>
        <v>92.76</v>
      </c>
      <c r="O31" s="132">
        <f t="shared" si="11"/>
        <v>15.46</v>
      </c>
      <c r="P31" s="129">
        <v>28.2</v>
      </c>
      <c r="Q31" s="131">
        <f t="shared" si="4"/>
        <v>58.376000000000005</v>
      </c>
      <c r="R31" s="132">
        <f t="shared" si="20"/>
        <v>307.00709219858157</v>
      </c>
    </row>
    <row r="32" spans="1:21" s="84" customFormat="1" ht="44.25" customHeight="1" x14ac:dyDescent="0.25">
      <c r="A32" s="80">
        <f t="shared" si="18"/>
        <v>13</v>
      </c>
      <c r="B32" s="147" t="s">
        <v>117</v>
      </c>
      <c r="C32" s="81" t="s">
        <v>118</v>
      </c>
      <c r="D32" s="128">
        <v>18563.54</v>
      </c>
      <c r="E32" s="128">
        <v>15000</v>
      </c>
      <c r="F32" s="129">
        <f t="shared" si="9"/>
        <v>3045.3679999999999</v>
      </c>
      <c r="G32" s="128">
        <v>1407.4690000000001</v>
      </c>
      <c r="H32" s="128">
        <v>1637.8989999999999</v>
      </c>
      <c r="I32" s="130">
        <v>2900</v>
      </c>
      <c r="J32" s="131">
        <f t="shared" si="1"/>
        <v>145.36799999999994</v>
      </c>
      <c r="K32" s="132">
        <f t="shared" si="19"/>
        <v>105.01268965517241</v>
      </c>
      <c r="L32" s="131">
        <f t="shared" si="10"/>
        <v>3093.9233333333336</v>
      </c>
      <c r="M32" s="131">
        <f t="shared" si="2"/>
        <v>-48.555333333333692</v>
      </c>
      <c r="N32" s="132">
        <f t="shared" si="3"/>
        <v>98.430622607541437</v>
      </c>
      <c r="O32" s="132">
        <f t="shared" si="11"/>
        <v>16.405103767923574</v>
      </c>
      <c r="P32" s="129">
        <v>2991.125</v>
      </c>
      <c r="Q32" s="131">
        <f t="shared" si="4"/>
        <v>54.242999999999938</v>
      </c>
      <c r="R32" s="132">
        <f t="shared" si="20"/>
        <v>101.81346483346567</v>
      </c>
    </row>
    <row r="33" spans="1:25" s="84" customFormat="1" ht="86.25" customHeight="1" x14ac:dyDescent="0.25">
      <c r="A33" s="80">
        <f t="shared" si="18"/>
        <v>14</v>
      </c>
      <c r="B33" s="147" t="s">
        <v>176</v>
      </c>
      <c r="C33" s="81" t="s">
        <v>177</v>
      </c>
      <c r="D33" s="128">
        <v>35</v>
      </c>
      <c r="E33" s="128"/>
      <c r="F33" s="129">
        <f t="shared" si="9"/>
        <v>14.462</v>
      </c>
      <c r="G33" s="128">
        <v>8.39</v>
      </c>
      <c r="H33" s="128">
        <v>6.0720000000000001</v>
      </c>
      <c r="I33" s="130">
        <v>14.4</v>
      </c>
      <c r="J33" s="131">
        <f t="shared" si="1"/>
        <v>6.1999999999999389E-2</v>
      </c>
      <c r="K33" s="132">
        <f t="shared" si="19"/>
        <v>100.43055555555556</v>
      </c>
      <c r="L33" s="131">
        <f t="shared" si="10"/>
        <v>5.833333333333333</v>
      </c>
      <c r="M33" s="131">
        <f t="shared" si="2"/>
        <v>8.6286666666666676</v>
      </c>
      <c r="N33" s="132">
        <f>F33/L33*100</f>
        <v>247.92000000000002</v>
      </c>
      <c r="O33" s="132">
        <f t="shared" si="11"/>
        <v>41.32</v>
      </c>
      <c r="P33" s="129"/>
      <c r="Q33" s="131"/>
      <c r="R33" s="132"/>
    </row>
    <row r="34" spans="1:25" s="84" customFormat="1" ht="43.5" customHeight="1" x14ac:dyDescent="0.25">
      <c r="A34" s="80">
        <f t="shared" si="18"/>
        <v>15</v>
      </c>
      <c r="B34" s="147" t="s">
        <v>89</v>
      </c>
      <c r="C34" s="81" t="s">
        <v>88</v>
      </c>
      <c r="D34" s="128">
        <f>SUM(D35:D38)</f>
        <v>34832</v>
      </c>
      <c r="E34" s="128">
        <f>SUM(E35:E38)</f>
        <v>27762.799999999999</v>
      </c>
      <c r="F34" s="129">
        <f t="shared" si="9"/>
        <v>5931.1959999999999</v>
      </c>
      <c r="G34" s="128">
        <f t="shared" ref="G34:I34" si="21">SUM(G35:G38)</f>
        <v>2780.7419999999997</v>
      </c>
      <c r="H34" s="128">
        <f t="shared" si="21"/>
        <v>3150.4539999999997</v>
      </c>
      <c r="I34" s="130">
        <f t="shared" si="21"/>
        <v>5907.3909999999996</v>
      </c>
      <c r="J34" s="131">
        <f t="shared" si="1"/>
        <v>23.805000000000291</v>
      </c>
      <c r="K34" s="132">
        <f t="shared" si="19"/>
        <v>100.40296977125773</v>
      </c>
      <c r="L34" s="131">
        <f t="shared" si="10"/>
        <v>5805.333333333333</v>
      </c>
      <c r="M34" s="131">
        <f t="shared" si="2"/>
        <v>125.86266666666688</v>
      </c>
      <c r="N34" s="132">
        <f t="shared" si="3"/>
        <v>102.16805236564079</v>
      </c>
      <c r="O34" s="132">
        <f t="shared" si="11"/>
        <v>17.028008727606796</v>
      </c>
      <c r="P34" s="129">
        <f t="shared" ref="P34" si="22">SUM(P35:P38)</f>
        <v>4163.5259999999998</v>
      </c>
      <c r="Q34" s="131">
        <f t="shared" si="4"/>
        <v>1767.67</v>
      </c>
      <c r="R34" s="132">
        <f t="shared" si="20"/>
        <v>142.45608169613928</v>
      </c>
    </row>
    <row r="35" spans="1:25" s="88" customFormat="1" ht="58.5" x14ac:dyDescent="0.25">
      <c r="A35" s="85" t="s">
        <v>209</v>
      </c>
      <c r="B35" s="148" t="s">
        <v>81</v>
      </c>
      <c r="C35" s="160" t="s">
        <v>80</v>
      </c>
      <c r="D35" s="133">
        <v>1500</v>
      </c>
      <c r="E35" s="133">
        <v>1300</v>
      </c>
      <c r="F35" s="134">
        <f t="shared" si="9"/>
        <v>221.93900000000002</v>
      </c>
      <c r="G35" s="133">
        <v>105.29900000000001</v>
      </c>
      <c r="H35" s="133">
        <v>116.64</v>
      </c>
      <c r="I35" s="135">
        <v>221</v>
      </c>
      <c r="J35" s="136">
        <f t="shared" si="1"/>
        <v>0.93900000000002137</v>
      </c>
      <c r="K35" s="137">
        <f t="shared" si="19"/>
        <v>100.42488687782807</v>
      </c>
      <c r="L35" s="131">
        <f t="shared" si="10"/>
        <v>250</v>
      </c>
      <c r="M35" s="136">
        <f t="shared" si="2"/>
        <v>-28.060999999999979</v>
      </c>
      <c r="N35" s="137">
        <f t="shared" si="3"/>
        <v>88.775600000000011</v>
      </c>
      <c r="O35" s="137">
        <f t="shared" si="11"/>
        <v>14.795933333333336</v>
      </c>
      <c r="P35" s="134">
        <v>214.798</v>
      </c>
      <c r="Q35" s="136">
        <f t="shared" si="4"/>
        <v>7.1410000000000196</v>
      </c>
      <c r="R35" s="137">
        <f t="shared" si="20"/>
        <v>103.32451885026863</v>
      </c>
      <c r="S35" s="137">
        <f>R35-100</f>
        <v>3.3245188502686318</v>
      </c>
      <c r="T35" s="86"/>
    </row>
    <row r="36" spans="1:25" s="88" customFormat="1" ht="47.25" customHeight="1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v>24922.799999999999</v>
      </c>
      <c r="F36" s="134">
        <f t="shared" si="9"/>
        <v>5488.0789999999997</v>
      </c>
      <c r="G36" s="133">
        <v>2558.1509999999998</v>
      </c>
      <c r="H36" s="133">
        <v>2929.9279999999999</v>
      </c>
      <c r="I36" s="135">
        <v>5466.2910000000002</v>
      </c>
      <c r="J36" s="136">
        <f t="shared" si="1"/>
        <v>21.787999999999556</v>
      </c>
      <c r="K36" s="137">
        <f t="shared" si="19"/>
        <v>100.39858836640785</v>
      </c>
      <c r="L36" s="131">
        <f t="shared" si="10"/>
        <v>5333.333333333333</v>
      </c>
      <c r="M36" s="136">
        <f t="shared" si="2"/>
        <v>154.74566666666669</v>
      </c>
      <c r="N36" s="137">
        <f t="shared" si="3"/>
        <v>102.90148125</v>
      </c>
      <c r="O36" s="137">
        <f t="shared" si="11"/>
        <v>17.150246875000001</v>
      </c>
      <c r="P36" s="134">
        <v>3705.2089999999998</v>
      </c>
      <c r="Q36" s="136">
        <f t="shared" si="4"/>
        <v>1782.87</v>
      </c>
      <c r="R36" s="137">
        <f t="shared" si="20"/>
        <v>148.11793342831675</v>
      </c>
      <c r="S36" s="137">
        <f>R36-100</f>
        <v>48.117933428316746</v>
      </c>
      <c r="T36" s="87"/>
    </row>
    <row r="37" spans="1:25" s="88" customFormat="1" ht="61.5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v>1400</v>
      </c>
      <c r="F37" s="134">
        <f t="shared" si="9"/>
        <v>204.708</v>
      </c>
      <c r="G37" s="133">
        <v>109.502</v>
      </c>
      <c r="H37" s="133">
        <v>95.206000000000003</v>
      </c>
      <c r="I37" s="135">
        <v>203.7</v>
      </c>
      <c r="J37" s="136">
        <f t="shared" si="1"/>
        <v>1.0080000000000098</v>
      </c>
      <c r="K37" s="137">
        <f t="shared" si="19"/>
        <v>100.49484536082474</v>
      </c>
      <c r="L37" s="131">
        <f t="shared" si="10"/>
        <v>208.33333333333334</v>
      </c>
      <c r="M37" s="136">
        <f t="shared" si="2"/>
        <v>-3.6253333333333444</v>
      </c>
      <c r="N37" s="137">
        <f t="shared" si="3"/>
        <v>98.259839999999997</v>
      </c>
      <c r="O37" s="137">
        <f t="shared" si="11"/>
        <v>16.376640000000002</v>
      </c>
      <c r="P37" s="134">
        <v>230.97899999999998</v>
      </c>
      <c r="Q37" s="136">
        <f t="shared" si="4"/>
        <v>-26.270999999999987</v>
      </c>
      <c r="R37" s="137">
        <f t="shared" si="20"/>
        <v>88.626238748977187</v>
      </c>
    </row>
    <row r="38" spans="1:25" s="88" customFormat="1" ht="126" customHeight="1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v>140</v>
      </c>
      <c r="F38" s="134">
        <f t="shared" si="9"/>
        <v>16.47</v>
      </c>
      <c r="G38" s="133">
        <v>7.79</v>
      </c>
      <c r="H38" s="133">
        <v>8.68</v>
      </c>
      <c r="I38" s="135">
        <v>16.399999999999999</v>
      </c>
      <c r="J38" s="136">
        <f t="shared" si="1"/>
        <v>7.0000000000000284E-2</v>
      </c>
      <c r="K38" s="137">
        <f t="shared" si="19"/>
        <v>100.42682926829269</v>
      </c>
      <c r="L38" s="131">
        <f t="shared" si="10"/>
        <v>13.666666666666666</v>
      </c>
      <c r="M38" s="136">
        <f t="shared" si="2"/>
        <v>2.8033333333333328</v>
      </c>
      <c r="N38" s="137">
        <f t="shared" si="3"/>
        <v>120.51219512195121</v>
      </c>
      <c r="O38" s="137">
        <f t="shared" si="11"/>
        <v>20.085365853658534</v>
      </c>
      <c r="P38" s="134">
        <v>12.540000000000001</v>
      </c>
      <c r="Q38" s="136">
        <f t="shared" si="4"/>
        <v>3.9299999999999979</v>
      </c>
      <c r="R38" s="137">
        <f t="shared" si="20"/>
        <v>131.33971291866027</v>
      </c>
    </row>
    <row r="39" spans="1:25" s="84" customFormat="1" ht="61.5" customHeight="1" x14ac:dyDescent="0.25">
      <c r="A39" s="80">
        <v>16</v>
      </c>
      <c r="B39" s="207" t="s">
        <v>37</v>
      </c>
      <c r="C39" s="81" t="s">
        <v>20</v>
      </c>
      <c r="D39" s="128">
        <v>12300</v>
      </c>
      <c r="E39" s="128">
        <v>12000</v>
      </c>
      <c r="F39" s="129">
        <f t="shared" si="9"/>
        <v>2405.46</v>
      </c>
      <c r="G39" s="128">
        <v>1496.537</v>
      </c>
      <c r="H39" s="128">
        <v>908.923</v>
      </c>
      <c r="I39" s="130">
        <v>2014</v>
      </c>
      <c r="J39" s="131">
        <f t="shared" si="1"/>
        <v>391.46000000000004</v>
      </c>
      <c r="K39" s="132">
        <f t="shared" si="19"/>
        <v>119.43694141012911</v>
      </c>
      <c r="L39" s="131">
        <f t="shared" si="10"/>
        <v>2050</v>
      </c>
      <c r="M39" s="131">
        <f t="shared" si="2"/>
        <v>355.46000000000004</v>
      </c>
      <c r="N39" s="132">
        <f t="shared" si="3"/>
        <v>117.33951219512196</v>
      </c>
      <c r="O39" s="132">
        <f t="shared" si="11"/>
        <v>19.55658536585366</v>
      </c>
      <c r="P39" s="129">
        <v>1843.702</v>
      </c>
      <c r="Q39" s="131">
        <f t="shared" si="4"/>
        <v>561.75800000000004</v>
      </c>
      <c r="R39" s="132">
        <f t="shared" si="20"/>
        <v>130.46902373593997</v>
      </c>
    </row>
    <row r="40" spans="1:25" s="84" customFormat="1" ht="44.25" customHeight="1" x14ac:dyDescent="0.25">
      <c r="A40" s="80">
        <f t="shared" ref="A40:A46" si="23">A39+1</f>
        <v>17</v>
      </c>
      <c r="B40" s="89" t="s">
        <v>56</v>
      </c>
      <c r="C40" s="81" t="s">
        <v>16</v>
      </c>
      <c r="D40" s="128">
        <v>600</v>
      </c>
      <c r="E40" s="128">
        <v>600.5</v>
      </c>
      <c r="F40" s="129">
        <f t="shared" si="9"/>
        <v>85.198999999999998</v>
      </c>
      <c r="G40" s="128">
        <v>46.207000000000001</v>
      </c>
      <c r="H40" s="128">
        <v>38.991999999999997</v>
      </c>
      <c r="I40" s="130">
        <v>83.6</v>
      </c>
      <c r="J40" s="131">
        <f t="shared" si="1"/>
        <v>1.5990000000000038</v>
      </c>
      <c r="K40" s="132">
        <f t="shared" si="19"/>
        <v>101.91267942583733</v>
      </c>
      <c r="L40" s="131">
        <f t="shared" si="10"/>
        <v>100</v>
      </c>
      <c r="M40" s="131">
        <f t="shared" si="2"/>
        <v>-14.801000000000002</v>
      </c>
      <c r="N40" s="132">
        <f t="shared" si="3"/>
        <v>85.198999999999998</v>
      </c>
      <c r="O40" s="132">
        <f t="shared" si="11"/>
        <v>14.199833333333334</v>
      </c>
      <c r="P40" s="129">
        <v>69.967999999999989</v>
      </c>
      <c r="Q40" s="131">
        <f t="shared" si="4"/>
        <v>15.231000000000009</v>
      </c>
      <c r="R40" s="132">
        <f t="shared" si="20"/>
        <v>121.76852275325865</v>
      </c>
      <c r="S40" s="83">
        <f>100-R40</f>
        <v>-21.768522753258651</v>
      </c>
    </row>
    <row r="41" spans="1:25" s="84" customFormat="1" ht="116.25" customHeight="1" x14ac:dyDescent="0.25">
      <c r="A41" s="80">
        <f t="shared" si="23"/>
        <v>18</v>
      </c>
      <c r="B41" s="89" t="s">
        <v>105</v>
      </c>
      <c r="C41" s="81" t="s">
        <v>104</v>
      </c>
      <c r="D41" s="128">
        <v>2.6</v>
      </c>
      <c r="E41" s="128">
        <v>2.5499999999999998</v>
      </c>
      <c r="F41" s="129">
        <f t="shared" si="9"/>
        <v>0</v>
      </c>
      <c r="G41" s="128">
        <v>0</v>
      </c>
      <c r="H41" s="128">
        <v>0</v>
      </c>
      <c r="I41" s="130">
        <v>0</v>
      </c>
      <c r="J41" s="131">
        <f t="shared" si="1"/>
        <v>0</v>
      </c>
      <c r="K41" s="132"/>
      <c r="L41" s="131">
        <f t="shared" si="10"/>
        <v>0.43333333333333335</v>
      </c>
      <c r="M41" s="131">
        <f t="shared" si="2"/>
        <v>-0.43333333333333335</v>
      </c>
      <c r="N41" s="132"/>
      <c r="O41" s="132">
        <f t="shared" si="11"/>
        <v>0</v>
      </c>
      <c r="P41" s="129">
        <v>0</v>
      </c>
      <c r="Q41" s="131">
        <f t="shared" si="4"/>
        <v>0</v>
      </c>
      <c r="R41" s="132"/>
    </row>
    <row r="42" spans="1:25" s="84" customFormat="1" ht="42" customHeight="1" x14ac:dyDescent="0.25">
      <c r="A42" s="80">
        <f t="shared" si="23"/>
        <v>19</v>
      </c>
      <c r="B42" s="114" t="s">
        <v>63</v>
      </c>
      <c r="C42" s="34" t="s">
        <v>64</v>
      </c>
      <c r="D42" s="128">
        <v>235</v>
      </c>
      <c r="E42" s="128">
        <v>70</v>
      </c>
      <c r="F42" s="129">
        <f t="shared" si="9"/>
        <v>0</v>
      </c>
      <c r="G42" s="128">
        <v>0</v>
      </c>
      <c r="H42" s="128">
        <v>0</v>
      </c>
      <c r="I42" s="130">
        <v>0</v>
      </c>
      <c r="J42" s="131">
        <f t="shared" si="1"/>
        <v>0</v>
      </c>
      <c r="K42" s="132"/>
      <c r="L42" s="131">
        <f t="shared" si="10"/>
        <v>39.166666666666664</v>
      </c>
      <c r="M42" s="131">
        <f t="shared" si="2"/>
        <v>-39.166666666666664</v>
      </c>
      <c r="N42" s="132">
        <f t="shared" ref="N42:N47" si="24">F42/L42*100</f>
        <v>0</v>
      </c>
      <c r="O42" s="132">
        <f t="shared" si="11"/>
        <v>0</v>
      </c>
      <c r="P42" s="129">
        <v>0</v>
      </c>
      <c r="Q42" s="131">
        <f t="shared" si="4"/>
        <v>0</v>
      </c>
      <c r="R42" s="132"/>
    </row>
    <row r="43" spans="1:25" s="84" customFormat="1" ht="43.5" customHeight="1" x14ac:dyDescent="0.25">
      <c r="A43" s="80">
        <f t="shared" si="23"/>
        <v>20</v>
      </c>
      <c r="B43" s="89" t="s">
        <v>8</v>
      </c>
      <c r="C43" s="81" t="s">
        <v>21</v>
      </c>
      <c r="D43" s="128">
        <v>1700</v>
      </c>
      <c r="E43" s="128">
        <v>1400</v>
      </c>
      <c r="F43" s="129">
        <f t="shared" si="9"/>
        <v>368.86400000000003</v>
      </c>
      <c r="G43" s="128">
        <v>229.78800000000001</v>
      </c>
      <c r="H43" s="128">
        <v>139.07599999999999</v>
      </c>
      <c r="I43" s="130">
        <v>360</v>
      </c>
      <c r="J43" s="131">
        <f t="shared" si="1"/>
        <v>8.8640000000000327</v>
      </c>
      <c r="K43" s="132">
        <f>F43/I43*100</f>
        <v>102.46222222222224</v>
      </c>
      <c r="L43" s="131">
        <f t="shared" si="10"/>
        <v>283.33333333333331</v>
      </c>
      <c r="M43" s="131">
        <f t="shared" si="2"/>
        <v>85.530666666666718</v>
      </c>
      <c r="N43" s="132">
        <f t="shared" si="24"/>
        <v>130.1872941176471</v>
      </c>
      <c r="O43" s="132">
        <f t="shared" si="11"/>
        <v>21.697882352941178</v>
      </c>
      <c r="P43" s="129">
        <v>317.69799999999998</v>
      </c>
      <c r="Q43" s="131">
        <f t="shared" si="4"/>
        <v>51.166000000000054</v>
      </c>
      <c r="R43" s="132">
        <f>F43/P43*100</f>
        <v>116.10523201279204</v>
      </c>
      <c r="V43" s="84">
        <v>246438.04</v>
      </c>
    </row>
    <row r="44" spans="1:25" s="84" customFormat="1" ht="165" customHeight="1" x14ac:dyDescent="0.25">
      <c r="A44" s="80">
        <f t="shared" si="23"/>
        <v>21</v>
      </c>
      <c r="B44" s="89" t="s">
        <v>55</v>
      </c>
      <c r="C44" s="81" t="s">
        <v>49</v>
      </c>
      <c r="D44" s="128">
        <v>1000</v>
      </c>
      <c r="E44" s="128">
        <v>1000</v>
      </c>
      <c r="F44" s="129">
        <f t="shared" si="9"/>
        <v>164.75200000000001</v>
      </c>
      <c r="G44" s="128">
        <v>162.79300000000001</v>
      </c>
      <c r="H44" s="128">
        <v>1.9590000000000001</v>
      </c>
      <c r="I44" s="130">
        <v>164.7</v>
      </c>
      <c r="J44" s="131">
        <f t="shared" si="1"/>
        <v>5.2000000000020918E-2</v>
      </c>
      <c r="K44" s="132">
        <f>F44/I44*100</f>
        <v>100.03157255616273</v>
      </c>
      <c r="L44" s="131">
        <f t="shared" si="10"/>
        <v>166.66666666666666</v>
      </c>
      <c r="M44" s="131">
        <f t="shared" si="2"/>
        <v>-1.9146666666666476</v>
      </c>
      <c r="N44" s="132">
        <f t="shared" si="24"/>
        <v>98.85120000000002</v>
      </c>
      <c r="O44" s="132">
        <f t="shared" si="11"/>
        <v>16.475200000000001</v>
      </c>
      <c r="P44" s="129">
        <v>268.73099999999999</v>
      </c>
      <c r="Q44" s="131">
        <f t="shared" si="4"/>
        <v>-103.97899999999998</v>
      </c>
      <c r="R44" s="132">
        <f>F44/P44*100</f>
        <v>61.307404058333425</v>
      </c>
    </row>
    <row r="45" spans="1:25" s="84" customFormat="1" ht="90" customHeight="1" x14ac:dyDescent="0.25">
      <c r="A45" s="80">
        <f t="shared" si="23"/>
        <v>22</v>
      </c>
      <c r="B45" s="89" t="s">
        <v>133</v>
      </c>
      <c r="C45" s="81" t="s">
        <v>132</v>
      </c>
      <c r="D45" s="128">
        <v>1</v>
      </c>
      <c r="E45" s="128">
        <v>15</v>
      </c>
      <c r="F45" s="129">
        <f t="shared" si="9"/>
        <v>0</v>
      </c>
      <c r="G45" s="128">
        <v>0</v>
      </c>
      <c r="H45" s="128">
        <v>0</v>
      </c>
      <c r="I45" s="130">
        <v>0</v>
      </c>
      <c r="J45" s="131">
        <f t="shared" si="1"/>
        <v>0</v>
      </c>
      <c r="K45" s="132"/>
      <c r="L45" s="131">
        <f t="shared" si="10"/>
        <v>0.16666666666666666</v>
      </c>
      <c r="M45" s="131">
        <f t="shared" si="2"/>
        <v>-0.16666666666666666</v>
      </c>
      <c r="N45" s="132">
        <f t="shared" si="24"/>
        <v>0</v>
      </c>
      <c r="O45" s="132">
        <f t="shared" si="11"/>
        <v>0</v>
      </c>
      <c r="P45" s="129">
        <v>0</v>
      </c>
      <c r="Q45" s="131">
        <f t="shared" si="4"/>
        <v>0</v>
      </c>
      <c r="R45" s="132"/>
      <c r="T45" s="82">
        <f>F47-F43</f>
        <v>685774.83500000008</v>
      </c>
      <c r="U45" s="82">
        <f>P47-P43</f>
        <v>542292.576</v>
      </c>
      <c r="V45" s="83">
        <f>T45/U45</f>
        <v>1.2645845902194317</v>
      </c>
    </row>
    <row r="46" spans="1:25" s="84" customFormat="1" ht="60" customHeight="1" x14ac:dyDescent="0.25">
      <c r="A46" s="80">
        <f t="shared" si="23"/>
        <v>23</v>
      </c>
      <c r="B46" s="89" t="s">
        <v>91</v>
      </c>
      <c r="C46" s="81" t="s">
        <v>90</v>
      </c>
      <c r="D46" s="128">
        <v>1</v>
      </c>
      <c r="E46" s="128">
        <v>4.4000000000000004</v>
      </c>
      <c r="F46" s="129">
        <f t="shared" si="9"/>
        <v>0</v>
      </c>
      <c r="G46" s="128">
        <v>0</v>
      </c>
      <c r="H46" s="128">
        <v>0</v>
      </c>
      <c r="I46" s="130">
        <v>0</v>
      </c>
      <c r="J46" s="131">
        <f t="shared" si="1"/>
        <v>0</v>
      </c>
      <c r="K46" s="132"/>
      <c r="L46" s="131">
        <f t="shared" si="10"/>
        <v>0.16666666666666666</v>
      </c>
      <c r="M46" s="131">
        <f t="shared" si="2"/>
        <v>-0.16666666666666666</v>
      </c>
      <c r="N46" s="132">
        <f t="shared" si="24"/>
        <v>0</v>
      </c>
      <c r="O46" s="132">
        <f t="shared" si="11"/>
        <v>0</v>
      </c>
      <c r="P46" s="129">
        <v>0</v>
      </c>
      <c r="Q46" s="131">
        <f t="shared" si="4"/>
        <v>0</v>
      </c>
      <c r="R46" s="132"/>
    </row>
    <row r="47" spans="1:25" s="95" customFormat="1" ht="41.25" customHeight="1" x14ac:dyDescent="0.3">
      <c r="A47" s="90"/>
      <c r="B47" s="91" t="s">
        <v>9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</f>
        <v>3751621.3889999995</v>
      </c>
      <c r="F47" s="92">
        <f>SUM(G47:H47)</f>
        <v>686143.69900000002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</f>
        <v>654916.28899999987</v>
      </c>
      <c r="J47" s="93">
        <f t="shared" si="1"/>
        <v>31227.410000000149</v>
      </c>
      <c r="K47" s="94">
        <f>F47/I47*100</f>
        <v>104.76815289594977</v>
      </c>
      <c r="L47" s="92">
        <f>L7+L9+L10+L15+L20+L26+L27+L28+L29+L30+L31+L32+L34+L39+L40+L41+L42+L43+L44+L46+L45+L33</f>
        <v>731576.6641666668</v>
      </c>
      <c r="M47" s="93">
        <f t="shared" si="2"/>
        <v>-45432.965166666778</v>
      </c>
      <c r="N47" s="94">
        <f t="shared" si="24"/>
        <v>93.789719192530683</v>
      </c>
      <c r="O47" s="94">
        <f t="shared" si="11"/>
        <v>15.631619865421786</v>
      </c>
      <c r="P47" s="92">
        <f>P7+P9+P10+P15+P20+P26+P27+P28+P29+P30+P31+P32+P34+P39+P40+P41+P42+P43+P44+P46+P45</f>
        <v>542610.27399999998</v>
      </c>
      <c r="Q47" s="93">
        <f t="shared" si="4"/>
        <v>143533.42500000005</v>
      </c>
      <c r="R47" s="94">
        <f>F47/P47*100</f>
        <v>126.4523972135478</v>
      </c>
      <c r="S47" s="96">
        <v>542610.27399999998</v>
      </c>
      <c r="T47" s="96">
        <f>S47-P47</f>
        <v>0</v>
      </c>
      <c r="W47" s="96" t="e">
        <f>#REF!-#REF!-#REF!</f>
        <v>#REF!</v>
      </c>
      <c r="Y47" s="95">
        <v>294547.38299999997</v>
      </c>
    </row>
    <row r="48" spans="1:25" s="95" customFormat="1" ht="54" customHeight="1" x14ac:dyDescent="0.3">
      <c r="A48" s="90"/>
      <c r="B48" s="91" t="s">
        <v>185</v>
      </c>
      <c r="C48" s="92"/>
      <c r="D48" s="92">
        <f>D47</f>
        <v>4389459.9849999994</v>
      </c>
      <c r="E48" s="92"/>
      <c r="F48" s="92">
        <f t="shared" ref="F48:O48" si="25">F47</f>
        <v>686143.69900000002</v>
      </c>
      <c r="G48" s="92">
        <f t="shared" si="25"/>
        <v>303539.72700000007</v>
      </c>
      <c r="H48" s="92">
        <f t="shared" si="25"/>
        <v>382603.97200000001</v>
      </c>
      <c r="I48" s="92">
        <f t="shared" si="25"/>
        <v>654916.28899999987</v>
      </c>
      <c r="J48" s="93">
        <f t="shared" si="25"/>
        <v>31227.410000000149</v>
      </c>
      <c r="K48" s="94">
        <f t="shared" si="25"/>
        <v>104.76815289594977</v>
      </c>
      <c r="L48" s="92">
        <f t="shared" si="25"/>
        <v>731576.6641666668</v>
      </c>
      <c r="M48" s="93">
        <f t="shared" si="25"/>
        <v>-45432.965166666778</v>
      </c>
      <c r="N48" s="94">
        <f t="shared" si="25"/>
        <v>93.789719192530683</v>
      </c>
      <c r="O48" s="94">
        <f t="shared" si="25"/>
        <v>15.631619865421786</v>
      </c>
      <c r="P48" s="92">
        <f>P47-P7+P8</f>
        <v>564390.6388666667</v>
      </c>
      <c r="Q48" s="93">
        <f t="shared" si="4"/>
        <v>121753.06013333332</v>
      </c>
      <c r="R48" s="94">
        <f>F48/P48*100</f>
        <v>121.57248043267008</v>
      </c>
      <c r="S48" s="96"/>
      <c r="T48" s="96"/>
      <c r="W48" s="96"/>
    </row>
    <row r="49" spans="2:43" ht="18.75" x14ac:dyDescent="0.3">
      <c r="B49" s="4"/>
      <c r="C49" s="3"/>
      <c r="D49" s="3"/>
      <c r="E49" s="3"/>
    </row>
    <row r="50" spans="2:43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1"/>
      <c r="K50" s="1"/>
      <c r="L50" s="1"/>
      <c r="M50" s="1"/>
      <c r="N50" s="1"/>
      <c r="O50" s="1"/>
      <c r="P50" s="33"/>
      <c r="Q50" s="1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2:43" s="20" customFormat="1" ht="18.75" x14ac:dyDescent="0.3">
      <c r="B51" s="4"/>
      <c r="C51" s="3"/>
      <c r="D51" s="3"/>
      <c r="E51" s="123"/>
      <c r="F51" s="156"/>
      <c r="G51" s="3"/>
      <c r="H51" s="3"/>
      <c r="I51" s="3"/>
      <c r="J51" s="1"/>
      <c r="K51" s="1"/>
      <c r="L51" s="1"/>
      <c r="M51" s="1"/>
      <c r="N51" s="1"/>
      <c r="O51" s="1"/>
      <c r="P51" s="156"/>
      <c r="Q51" s="1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2:43" s="20" customFormat="1" ht="18.75" x14ac:dyDescent="0.3">
      <c r="B52" s="4"/>
      <c r="C52" s="3"/>
      <c r="D52" s="157"/>
      <c r="E52" s="3"/>
      <c r="F52" s="33"/>
      <c r="G52" s="3"/>
      <c r="H52" s="3"/>
      <c r="I52" s="3"/>
      <c r="J52" s="1"/>
      <c r="K52" s="1"/>
      <c r="L52" s="1"/>
      <c r="M52" s="1"/>
      <c r="N52" s="1"/>
      <c r="O52" s="1"/>
      <c r="P52" s="33"/>
      <c r="Q52" s="1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2:43" s="20" customFormat="1" ht="18.75" x14ac:dyDescent="0.3">
      <c r="B53" s="4"/>
      <c r="C53" s="3"/>
      <c r="D53" s="3"/>
      <c r="E53" s="3"/>
      <c r="F53" s="33"/>
      <c r="G53" s="3"/>
      <c r="H53" s="3"/>
      <c r="I53" s="3"/>
      <c r="J53" s="1"/>
      <c r="K53" s="1"/>
      <c r="L53" s="1"/>
      <c r="M53" s="1"/>
      <c r="N53" s="1"/>
      <c r="O53" s="1"/>
      <c r="P53" s="33"/>
      <c r="Q53" s="1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2:43" s="20" customFormat="1" ht="22.5" x14ac:dyDescent="0.3">
      <c r="B54" s="4"/>
      <c r="C54" s="3"/>
      <c r="D54" s="154"/>
      <c r="E54" s="3"/>
      <c r="F54" s="33"/>
      <c r="G54" s="3"/>
      <c r="H54" s="3"/>
      <c r="I54" s="3"/>
      <c r="J54" s="1"/>
      <c r="K54" s="1"/>
      <c r="L54" s="1"/>
      <c r="M54" s="1"/>
      <c r="N54" s="1"/>
      <c r="O54" s="1"/>
      <c r="P54" s="33"/>
      <c r="Q54" s="1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2:43" s="20" customFormat="1" ht="18.75" x14ac:dyDescent="0.3">
      <c r="B55" s="4"/>
      <c r="C55" s="3"/>
      <c r="D55" s="3"/>
      <c r="E55" s="3"/>
      <c r="F55" s="156"/>
      <c r="G55" s="3"/>
      <c r="H55" s="3"/>
      <c r="I55" s="3"/>
      <c r="J55" s="1"/>
      <c r="K55" s="1"/>
      <c r="L55" s="1"/>
      <c r="M55" s="1"/>
      <c r="N55" s="1"/>
      <c r="O55" s="1"/>
      <c r="P55" s="156"/>
      <c r="Q55" s="1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2:43" s="20" customFormat="1" ht="18.75" x14ac:dyDescent="0.3">
      <c r="B56" s="4"/>
      <c r="C56" s="3"/>
      <c r="D56" s="3"/>
      <c r="E56" s="3"/>
      <c r="F56" s="33"/>
      <c r="G56" s="3"/>
      <c r="H56" s="3"/>
      <c r="I56" s="3"/>
      <c r="J56" s="1"/>
      <c r="K56" s="1"/>
      <c r="L56" s="1"/>
      <c r="M56" s="1"/>
      <c r="N56" s="1"/>
      <c r="O56" s="1"/>
      <c r="P56" s="33"/>
      <c r="Q56" s="1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2:43" s="20" customFormat="1" ht="18.75" x14ac:dyDescent="0.3">
      <c r="B57" s="4"/>
      <c r="C57" s="3"/>
      <c r="D57" s="3"/>
      <c r="E57" s="3"/>
      <c r="F57" s="33"/>
      <c r="G57" s="3"/>
      <c r="H57" s="3"/>
      <c r="I57" s="3"/>
      <c r="J57" s="1"/>
      <c r="K57" s="1"/>
      <c r="L57" s="1"/>
      <c r="M57" s="1"/>
      <c r="N57" s="1"/>
      <c r="O57" s="1"/>
      <c r="P57" s="33"/>
      <c r="Q57" s="1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2:43" s="20" customFormat="1" ht="18.75" x14ac:dyDescent="0.3">
      <c r="B58" s="29"/>
      <c r="F58" s="33"/>
      <c r="G58" s="3"/>
      <c r="H58" s="3"/>
      <c r="I58" s="3"/>
      <c r="J58" s="1"/>
      <c r="K58" s="1"/>
      <c r="L58" s="1"/>
      <c r="M58" s="1"/>
      <c r="N58" s="1"/>
      <c r="O58" s="1"/>
      <c r="P58" s="33"/>
      <c r="Q58" s="1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2:43" s="20" customFormat="1" ht="18.75" x14ac:dyDescent="0.3">
      <c r="B59" s="29"/>
      <c r="F59" s="33"/>
      <c r="G59" s="3"/>
      <c r="H59" s="3"/>
      <c r="I59" s="3"/>
      <c r="J59" s="1"/>
      <c r="K59" s="1"/>
      <c r="L59" s="1"/>
      <c r="M59" s="1"/>
      <c r="N59" s="1"/>
      <c r="O59" s="1"/>
      <c r="P59" s="33"/>
      <c r="Q59" s="1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</sheetData>
  <mergeCells count="22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C21:C23"/>
    <mergeCell ref="J3:J4"/>
    <mergeCell ref="K3:K4"/>
    <mergeCell ref="L3:L4"/>
    <mergeCell ref="M3:M4"/>
    <mergeCell ref="A7:A8"/>
    <mergeCell ref="P3:P4"/>
    <mergeCell ref="Q3:Q4"/>
    <mergeCell ref="R3:R4"/>
    <mergeCell ref="A6:R6"/>
    <mergeCell ref="N3:N4"/>
    <mergeCell ref="O3:O4"/>
  </mergeCells>
  <printOptions horizontalCentered="1"/>
  <pageMargins left="0.39370078740157483" right="0" top="0" bottom="0" header="0.23622047244094491" footer="0.11811023622047245"/>
  <pageSetup paperSize="8" scale="5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9"/>
  <sheetViews>
    <sheetView showGridLines="0" view="pageBreakPreview" zoomScale="60" zoomScaleNormal="75" workbookViewId="0">
      <pane xSplit="3" ySplit="6" topLeftCell="D43" activePane="bottomRight" state="frozen"/>
      <selection activeCell="P126" sqref="P126"/>
      <selection pane="topRight" activeCell="P126" sqref="P126"/>
      <selection pane="bottomLeft" activeCell="P126" sqref="P126"/>
      <selection pane="bottomRight" activeCell="P126" sqref="P126"/>
    </sheetView>
  </sheetViews>
  <sheetFormatPr defaultRowHeight="12.75" x14ac:dyDescent="0.2"/>
  <cols>
    <col min="1" max="1" width="12.28515625" style="20" customWidth="1"/>
    <col min="2" max="2" width="143.425781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9" width="21.28515625" style="3" hidden="1" customWidth="1"/>
    <col min="10" max="10" width="24" style="3" customWidth="1"/>
    <col min="11" max="11" width="22.5703125" style="1" customWidth="1"/>
    <col min="12" max="12" width="14.140625" style="1" bestFit="1" customWidth="1"/>
    <col min="13" max="13" width="23.85546875" style="1" customWidth="1"/>
    <col min="14" max="14" width="25.7109375" style="1" customWidth="1"/>
    <col min="15" max="15" width="14.7109375" style="1" bestFit="1" customWidth="1"/>
    <col min="16" max="16" width="16.140625" style="1" customWidth="1"/>
    <col min="17" max="17" width="23.140625" style="33" customWidth="1"/>
    <col min="18" max="18" width="21.85546875" style="1" customWidth="1"/>
    <col min="19" max="19" width="14.7109375" style="3" bestFit="1" customWidth="1"/>
    <col min="20" max="20" width="24.140625" style="3" bestFit="1" customWidth="1"/>
    <col min="21" max="21" width="19.140625" style="3" bestFit="1" customWidth="1"/>
    <col min="22" max="22" width="15.85546875" style="3" bestFit="1" customWidth="1"/>
    <col min="23" max="23" width="9.140625" style="3"/>
    <col min="24" max="24" width="24.140625" style="3" bestFit="1" customWidth="1"/>
    <col min="25" max="25" width="9.140625" style="3"/>
    <col min="26" max="26" width="15.140625" style="3" bestFit="1" customWidth="1"/>
    <col min="27" max="16384" width="9.140625" style="3"/>
  </cols>
  <sheetData>
    <row r="1" spans="1:34" ht="30" customHeight="1" x14ac:dyDescent="0.2">
      <c r="A1" s="231" t="s">
        <v>227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</row>
    <row r="2" spans="1:34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Q2" s="107"/>
      <c r="R2" s="5" t="s">
        <v>14</v>
      </c>
      <c r="S2" s="5"/>
    </row>
    <row r="3" spans="1:34" s="73" customFormat="1" ht="15" customHeight="1" x14ac:dyDescent="0.25">
      <c r="A3" s="232" t="s">
        <v>0</v>
      </c>
      <c r="B3" s="233" t="s">
        <v>1</v>
      </c>
      <c r="C3" s="233" t="s">
        <v>2</v>
      </c>
      <c r="D3" s="229" t="s">
        <v>167</v>
      </c>
      <c r="E3" s="229" t="s">
        <v>146</v>
      </c>
      <c r="F3" s="230" t="s">
        <v>213</v>
      </c>
      <c r="G3" s="229" t="s">
        <v>65</v>
      </c>
      <c r="H3" s="229" t="s">
        <v>187</v>
      </c>
      <c r="I3" s="229" t="s">
        <v>214</v>
      </c>
      <c r="J3" s="229" t="s">
        <v>215</v>
      </c>
      <c r="K3" s="229" t="s">
        <v>216</v>
      </c>
      <c r="L3" s="229" t="s">
        <v>3</v>
      </c>
      <c r="M3" s="229" t="s">
        <v>217</v>
      </c>
      <c r="N3" s="229" t="s">
        <v>218</v>
      </c>
      <c r="O3" s="229" t="s">
        <v>3</v>
      </c>
      <c r="P3" s="222" t="s">
        <v>219</v>
      </c>
      <c r="Q3" s="230" t="s">
        <v>220</v>
      </c>
      <c r="R3" s="229" t="s">
        <v>221</v>
      </c>
      <c r="S3" s="229" t="s">
        <v>3</v>
      </c>
    </row>
    <row r="4" spans="1:34" s="73" customFormat="1" ht="79.5" customHeight="1" x14ac:dyDescent="0.25">
      <c r="A4" s="232"/>
      <c r="B4" s="233"/>
      <c r="C4" s="233"/>
      <c r="D4" s="229"/>
      <c r="E4" s="229"/>
      <c r="F4" s="230"/>
      <c r="G4" s="229"/>
      <c r="H4" s="229"/>
      <c r="I4" s="229"/>
      <c r="J4" s="229"/>
      <c r="K4" s="229"/>
      <c r="L4" s="229"/>
      <c r="M4" s="229"/>
      <c r="N4" s="229"/>
      <c r="O4" s="229"/>
      <c r="P4" s="222"/>
      <c r="Q4" s="230"/>
      <c r="R4" s="229"/>
      <c r="S4" s="229"/>
    </row>
    <row r="5" spans="1:34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S5" si="0">D5+1</f>
        <v>5</v>
      </c>
      <c r="F5" s="76">
        <v>5</v>
      </c>
      <c r="G5" s="75">
        <f t="shared" si="0"/>
        <v>6</v>
      </c>
      <c r="H5" s="75">
        <f t="shared" si="0"/>
        <v>7</v>
      </c>
      <c r="I5" s="75">
        <f t="shared" si="0"/>
        <v>8</v>
      </c>
      <c r="J5" s="75">
        <v>6</v>
      </c>
      <c r="K5" s="75">
        <f t="shared" si="0"/>
        <v>7</v>
      </c>
      <c r="L5" s="75">
        <f t="shared" si="0"/>
        <v>8</v>
      </c>
      <c r="M5" s="75">
        <f t="shared" si="0"/>
        <v>9</v>
      </c>
      <c r="N5" s="75">
        <f t="shared" si="0"/>
        <v>10</v>
      </c>
      <c r="O5" s="75">
        <f t="shared" si="0"/>
        <v>11</v>
      </c>
      <c r="P5" s="75">
        <f t="shared" si="0"/>
        <v>12</v>
      </c>
      <c r="Q5" s="76">
        <f t="shared" si="0"/>
        <v>13</v>
      </c>
      <c r="R5" s="75">
        <f t="shared" si="0"/>
        <v>14</v>
      </c>
      <c r="S5" s="75">
        <f t="shared" si="0"/>
        <v>15</v>
      </c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</row>
    <row r="6" spans="1:34" s="79" customFormat="1" ht="26.25" customHeight="1" x14ac:dyDescent="0.2">
      <c r="A6" s="235" t="s">
        <v>6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</row>
    <row r="7" spans="1:34" s="84" customFormat="1" ht="27.75" customHeight="1" x14ac:dyDescent="0.25">
      <c r="A7" s="246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>SUM(G7:I7)</f>
        <v>649895.55099999998</v>
      </c>
      <c r="G7" s="128">
        <v>178227.345</v>
      </c>
      <c r="H7" s="128">
        <v>241711.46</v>
      </c>
      <c r="I7" s="128">
        <v>229956.74600000001</v>
      </c>
      <c r="J7" s="130">
        <v>631423.80099999998</v>
      </c>
      <c r="K7" s="131">
        <f t="shared" ref="K7:K47" si="1">F7-J7</f>
        <v>18471.75</v>
      </c>
      <c r="L7" s="132">
        <f>F7/J7*100</f>
        <v>102.92541237291751</v>
      </c>
      <c r="M7" s="131">
        <f>D7/12*3</f>
        <v>714848.36499999999</v>
      </c>
      <c r="N7" s="131">
        <f t="shared" ref="N7:N47" si="2">F7-M7</f>
        <v>-64952.814000000013</v>
      </c>
      <c r="O7" s="132">
        <f t="shared" ref="O7:O40" si="3">F7/M7*100</f>
        <v>90.913763368543201</v>
      </c>
      <c r="P7" s="132">
        <f>F7/D7*100</f>
        <v>22.7284408421358</v>
      </c>
      <c r="Q7" s="129">
        <v>514818.21499999997</v>
      </c>
      <c r="R7" s="131">
        <f t="shared" ref="R7:R48" si="4">F7-Q7</f>
        <v>135077.33600000001</v>
      </c>
      <c r="S7" s="132">
        <f>F7/Q7*100</f>
        <v>126.23787039081358</v>
      </c>
      <c r="T7" s="82"/>
      <c r="U7" s="82"/>
      <c r="V7" s="82">
        <f>T7-U7</f>
        <v>0</v>
      </c>
      <c r="W7" s="83" t="e">
        <f>T7/U7*100</f>
        <v>#DIV/0!</v>
      </c>
    </row>
    <row r="8" spans="1:34" s="84" customFormat="1" ht="27.75" customHeight="1" x14ac:dyDescent="0.25">
      <c r="A8" s="247"/>
      <c r="B8" s="89" t="s">
        <v>206</v>
      </c>
      <c r="C8" s="81" t="s">
        <v>15</v>
      </c>
      <c r="D8" s="128">
        <v>2859393.46</v>
      </c>
      <c r="E8" s="128">
        <v>2398057.0789999999</v>
      </c>
      <c r="F8" s="129">
        <f>SUM(G8:I8)</f>
        <v>649895.55099999998</v>
      </c>
      <c r="G8" s="128">
        <v>178227.345</v>
      </c>
      <c r="H8" s="128">
        <v>241711.46</v>
      </c>
      <c r="I8" s="128">
        <v>229956.74600000001</v>
      </c>
      <c r="J8" s="130">
        <v>631423.80099999998</v>
      </c>
      <c r="K8" s="131">
        <f t="shared" ref="K8" si="5">F8-J8</f>
        <v>18471.75</v>
      </c>
      <c r="L8" s="132">
        <f>F8/J8*100</f>
        <v>102.92541237291751</v>
      </c>
      <c r="M8" s="131">
        <f>D8/12*3</f>
        <v>714848.36499999999</v>
      </c>
      <c r="N8" s="131">
        <f t="shared" ref="N8" si="6">F8-M8</f>
        <v>-64952.814000000013</v>
      </c>
      <c r="O8" s="132">
        <f t="shared" ref="O8" si="7">F8/M8*100</f>
        <v>90.913763368543201</v>
      </c>
      <c r="P8" s="132">
        <f>F8/D8*100</f>
        <v>22.7284408421358</v>
      </c>
      <c r="Q8" s="129">
        <f>Q7/0.6*64%</f>
        <v>549139.42933333328</v>
      </c>
      <c r="R8" s="131">
        <f t="shared" ref="R8" si="8">F8-Q8</f>
        <v>100756.1216666667</v>
      </c>
      <c r="S8" s="132">
        <f>F8/Q8*100</f>
        <v>118.34800349138774</v>
      </c>
      <c r="T8" s="82"/>
      <c r="U8" s="82"/>
      <c r="V8" s="82"/>
      <c r="W8" s="83"/>
    </row>
    <row r="9" spans="1:34" s="84" customFormat="1" ht="23.25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ref="F9:F46" si="9">SUM(G9:I9)</f>
        <v>269.18799999999999</v>
      </c>
      <c r="G9" s="128">
        <v>2.6560000000000001</v>
      </c>
      <c r="H9" s="128">
        <v>179.74199999999999</v>
      </c>
      <c r="I9" s="128">
        <v>86.79</v>
      </c>
      <c r="J9" s="130">
        <v>269</v>
      </c>
      <c r="K9" s="131">
        <f t="shared" si="1"/>
        <v>0.18799999999998818</v>
      </c>
      <c r="L9" s="132">
        <f>F9/J9*100</f>
        <v>100.06988847583642</v>
      </c>
      <c r="M9" s="131">
        <f>D9/12*3</f>
        <v>252.5</v>
      </c>
      <c r="N9" s="131">
        <f t="shared" si="2"/>
        <v>16.687999999999988</v>
      </c>
      <c r="O9" s="132">
        <f t="shared" si="3"/>
        <v>106.60910891089108</v>
      </c>
      <c r="P9" s="132">
        <f t="shared" ref="P9:P47" si="10">F9/D9*100</f>
        <v>26.65227722772277</v>
      </c>
      <c r="Q9" s="129">
        <v>549.21199999999999</v>
      </c>
      <c r="R9" s="131">
        <f t="shared" si="4"/>
        <v>-280.024</v>
      </c>
      <c r="S9" s="132">
        <f>F9/Q9*100</f>
        <v>49.013495699292804</v>
      </c>
      <c r="T9" s="82"/>
      <c r="U9" s="82"/>
      <c r="V9" s="82">
        <f>Q7/0.5</f>
        <v>1029636.4299999999</v>
      </c>
      <c r="W9" s="83">
        <f>U9/V9*100</f>
        <v>0</v>
      </c>
    </row>
    <row r="10" spans="1:34" s="84" customFormat="1" ht="23.2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 t="shared" si="9"/>
        <v>159.46800000000002</v>
      </c>
      <c r="G10" s="128">
        <f>SUM(G11:G14)</f>
        <v>1.3639999999999999</v>
      </c>
      <c r="H10" s="128">
        <f>SUM(H11:H14)</f>
        <v>157.917</v>
      </c>
      <c r="I10" s="128">
        <f>SUM(I11:I14)</f>
        <v>0.187</v>
      </c>
      <c r="J10" s="128">
        <f>SUM(J11:J14)</f>
        <v>159.02000000000001</v>
      </c>
      <c r="K10" s="131">
        <f t="shared" si="1"/>
        <v>0.4480000000000075</v>
      </c>
      <c r="L10" s="132">
        <f>F10/J10*100</f>
        <v>100.28172556911082</v>
      </c>
      <c r="M10" s="131">
        <f t="shared" ref="M10:M46" si="11">D10/12*3</f>
        <v>121</v>
      </c>
      <c r="N10" s="131">
        <f t="shared" si="2"/>
        <v>38.468000000000018</v>
      </c>
      <c r="O10" s="132">
        <f t="shared" si="3"/>
        <v>131.79173553719011</v>
      </c>
      <c r="P10" s="132">
        <f t="shared" si="10"/>
        <v>32.947933884297527</v>
      </c>
      <c r="Q10" s="129">
        <f>SUM(Q11:Q14)</f>
        <v>124.78700000000001</v>
      </c>
      <c r="R10" s="131">
        <f t="shared" si="4"/>
        <v>34.681000000000012</v>
      </c>
      <c r="S10" s="132">
        <f>F10/Q10*100</f>
        <v>127.79215783695417</v>
      </c>
      <c r="T10" s="82"/>
      <c r="U10" s="82"/>
      <c r="V10" s="82"/>
      <c r="W10" s="83"/>
    </row>
    <row r="11" spans="1:34" s="84" customFormat="1" ht="39" x14ac:dyDescent="0.25">
      <c r="A11" s="85" t="s">
        <v>114</v>
      </c>
      <c r="B11" s="195" t="s">
        <v>173</v>
      </c>
      <c r="C11" s="200" t="s">
        <v>174</v>
      </c>
      <c r="D11" s="128">
        <v>23</v>
      </c>
      <c r="E11" s="128"/>
      <c r="F11" s="134">
        <f t="shared" si="9"/>
        <v>4.5519999999999996</v>
      </c>
      <c r="G11" s="128">
        <v>0</v>
      </c>
      <c r="H11" s="128">
        <v>4.5519999999999996</v>
      </c>
      <c r="I11" s="128">
        <v>0</v>
      </c>
      <c r="J11" s="130">
        <v>4.5</v>
      </c>
      <c r="K11" s="131">
        <f t="shared" si="1"/>
        <v>5.1999999999999602E-2</v>
      </c>
      <c r="L11" s="132"/>
      <c r="M11" s="131">
        <f t="shared" si="11"/>
        <v>5.75</v>
      </c>
      <c r="N11" s="131">
        <f t="shared" si="2"/>
        <v>-1.1980000000000004</v>
      </c>
      <c r="O11" s="137">
        <f t="shared" si="3"/>
        <v>79.165217391304338</v>
      </c>
      <c r="P11" s="132">
        <f t="shared" si="10"/>
        <v>19.791304347826085</v>
      </c>
      <c r="Q11" s="129">
        <v>8.5120000000000005</v>
      </c>
      <c r="R11" s="131">
        <f t="shared" si="4"/>
        <v>-3.9600000000000009</v>
      </c>
      <c r="S11" s="132">
        <f t="shared" ref="S11:S12" si="12">F11/Q11*100</f>
        <v>53.477443609022544</v>
      </c>
      <c r="T11" s="82"/>
      <c r="U11" s="82"/>
      <c r="V11" s="82"/>
      <c r="W11" s="83"/>
    </row>
    <row r="12" spans="1:34" s="88" customFormat="1" ht="39" x14ac:dyDescent="0.25">
      <c r="A12" s="85" t="s">
        <v>115</v>
      </c>
      <c r="B12" s="195" t="s">
        <v>107</v>
      </c>
      <c r="C12" s="72" t="s">
        <v>108</v>
      </c>
      <c r="D12" s="133">
        <v>160</v>
      </c>
      <c r="E12" s="133">
        <v>166.79</v>
      </c>
      <c r="F12" s="134">
        <f t="shared" si="9"/>
        <v>69.736000000000004</v>
      </c>
      <c r="G12" s="133">
        <v>0</v>
      </c>
      <c r="H12" s="133">
        <v>69.736000000000004</v>
      </c>
      <c r="I12" s="133">
        <v>0</v>
      </c>
      <c r="J12" s="135">
        <v>69.7</v>
      </c>
      <c r="K12" s="136">
        <f t="shared" si="1"/>
        <v>3.6000000000001364E-2</v>
      </c>
      <c r="L12" s="137"/>
      <c r="M12" s="136">
        <f t="shared" si="11"/>
        <v>40</v>
      </c>
      <c r="N12" s="136">
        <f t="shared" si="2"/>
        <v>29.736000000000004</v>
      </c>
      <c r="O12" s="137">
        <f t="shared" si="3"/>
        <v>174.34</v>
      </c>
      <c r="P12" s="137">
        <f t="shared" si="10"/>
        <v>43.585000000000001</v>
      </c>
      <c r="Q12" s="134">
        <v>53.468000000000004</v>
      </c>
      <c r="R12" s="136">
        <f t="shared" si="4"/>
        <v>16.268000000000001</v>
      </c>
      <c r="S12" s="137">
        <f t="shared" si="12"/>
        <v>130.42567517019526</v>
      </c>
    </row>
    <row r="13" spans="1:34" s="88" customFormat="1" ht="26.25" customHeight="1" x14ac:dyDescent="0.25">
      <c r="A13" s="85" t="s">
        <v>116</v>
      </c>
      <c r="B13" s="195" t="s">
        <v>149</v>
      </c>
      <c r="C13" s="72" t="s">
        <v>111</v>
      </c>
      <c r="D13" s="133">
        <v>86</v>
      </c>
      <c r="E13" s="133">
        <v>82.45</v>
      </c>
      <c r="F13" s="134">
        <f t="shared" si="9"/>
        <v>21.141000000000002</v>
      </c>
      <c r="G13" s="133">
        <v>0.96</v>
      </c>
      <c r="H13" s="133">
        <v>19.994</v>
      </c>
      <c r="I13" s="133">
        <v>0.187</v>
      </c>
      <c r="J13" s="135">
        <v>20.82</v>
      </c>
      <c r="K13" s="136">
        <f t="shared" si="1"/>
        <v>0.32100000000000151</v>
      </c>
      <c r="L13" s="137">
        <f>F13/J13*100</f>
        <v>101.54178674351586</v>
      </c>
      <c r="M13" s="136">
        <f t="shared" si="11"/>
        <v>21.5</v>
      </c>
      <c r="N13" s="136">
        <f t="shared" si="2"/>
        <v>-0.35899999999999821</v>
      </c>
      <c r="O13" s="137">
        <f t="shared" si="3"/>
        <v>98.330232558139542</v>
      </c>
      <c r="P13" s="137">
        <f t="shared" si="10"/>
        <v>24.582558139534886</v>
      </c>
      <c r="Q13" s="134">
        <v>16.780000000000005</v>
      </c>
      <c r="R13" s="136">
        <f t="shared" si="4"/>
        <v>4.3609999999999971</v>
      </c>
      <c r="S13" s="137">
        <f>F13/Q13*100</f>
        <v>125.98927294398091</v>
      </c>
    </row>
    <row r="14" spans="1:34" s="88" customFormat="1" ht="23.25" x14ac:dyDescent="0.25">
      <c r="A14" s="85" t="s">
        <v>175</v>
      </c>
      <c r="B14" s="195" t="s">
        <v>148</v>
      </c>
      <c r="C14" s="72" t="s">
        <v>147</v>
      </c>
      <c r="D14" s="133">
        <v>215</v>
      </c>
      <c r="E14" s="133">
        <v>257.64</v>
      </c>
      <c r="F14" s="134">
        <f t="shared" si="9"/>
        <v>64.039000000000001</v>
      </c>
      <c r="G14" s="133">
        <v>0.40400000000000003</v>
      </c>
      <c r="H14" s="133">
        <v>63.634999999999998</v>
      </c>
      <c r="I14" s="133">
        <v>0</v>
      </c>
      <c r="J14" s="135">
        <v>64</v>
      </c>
      <c r="K14" s="136">
        <f t="shared" si="1"/>
        <v>3.9000000000001478E-2</v>
      </c>
      <c r="L14" s="137">
        <f>F14/J14*100</f>
        <v>100.06093750000001</v>
      </c>
      <c r="M14" s="136">
        <f t="shared" si="11"/>
        <v>53.75</v>
      </c>
      <c r="N14" s="136">
        <f t="shared" si="2"/>
        <v>10.289000000000001</v>
      </c>
      <c r="O14" s="137">
        <f t="shared" si="3"/>
        <v>119.14232558139534</v>
      </c>
      <c r="P14" s="137">
        <f t="shared" si="10"/>
        <v>29.785581395348835</v>
      </c>
      <c r="Q14" s="134">
        <v>46.027000000000001</v>
      </c>
      <c r="R14" s="136">
        <f t="shared" si="4"/>
        <v>18.012</v>
      </c>
      <c r="S14" s="137">
        <f>F14/Q14*100</f>
        <v>139.13355204553847</v>
      </c>
    </row>
    <row r="15" spans="1:34" s="84" customFormat="1" ht="23.25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9"/>
        <v>46735.17</v>
      </c>
      <c r="G15" s="128">
        <f t="shared" ref="G15:J15" si="13">SUM(G16:G18)</f>
        <v>13827.143</v>
      </c>
      <c r="H15" s="128">
        <f t="shared" si="13"/>
        <v>7447.0510000000004</v>
      </c>
      <c r="I15" s="128">
        <f t="shared" si="13"/>
        <v>25460.975999999999</v>
      </c>
      <c r="J15" s="130">
        <f t="shared" si="13"/>
        <v>46100</v>
      </c>
      <c r="K15" s="131">
        <f t="shared" si="1"/>
        <v>635.16999999999825</v>
      </c>
      <c r="L15" s="132">
        <f>F15/J15*100</f>
        <v>101.37780911062906</v>
      </c>
      <c r="M15" s="131">
        <f t="shared" si="11"/>
        <v>70750</v>
      </c>
      <c r="N15" s="131">
        <f t="shared" si="2"/>
        <v>-24014.83</v>
      </c>
      <c r="O15" s="132">
        <f t="shared" si="3"/>
        <v>66.056777385159009</v>
      </c>
      <c r="P15" s="132">
        <f t="shared" si="10"/>
        <v>16.514194346289752</v>
      </c>
      <c r="Q15" s="129">
        <f t="shared" ref="Q15" si="14">SUM(Q16:Q18)</f>
        <v>52124.096000000005</v>
      </c>
      <c r="R15" s="131">
        <f t="shared" si="4"/>
        <v>-5388.9260000000068</v>
      </c>
      <c r="S15" s="132">
        <f>F15/Q15*100</f>
        <v>89.661353551340241</v>
      </c>
    </row>
    <row r="16" spans="1:34" s="88" customFormat="1" ht="30" customHeight="1" x14ac:dyDescent="0.25">
      <c r="A16" s="85" t="s">
        <v>129</v>
      </c>
      <c r="B16" s="195" t="s">
        <v>101</v>
      </c>
      <c r="C16" s="72" t="s">
        <v>93</v>
      </c>
      <c r="D16" s="133">
        <v>32000</v>
      </c>
      <c r="E16" s="133">
        <v>25500</v>
      </c>
      <c r="F16" s="134">
        <f t="shared" si="9"/>
        <v>4216.5990000000002</v>
      </c>
      <c r="G16" s="133">
        <v>0</v>
      </c>
      <c r="H16" s="133">
        <v>0</v>
      </c>
      <c r="I16" s="133">
        <v>4216.5990000000002</v>
      </c>
      <c r="J16" s="135">
        <v>4100</v>
      </c>
      <c r="K16" s="136">
        <f t="shared" si="1"/>
        <v>116.59900000000016</v>
      </c>
      <c r="L16" s="137">
        <f t="shared" ref="L16:L27" si="15">F16/J16*100</f>
        <v>102.8438780487805</v>
      </c>
      <c r="M16" s="136">
        <f t="shared" si="11"/>
        <v>8000</v>
      </c>
      <c r="N16" s="136">
        <f t="shared" si="2"/>
        <v>-3783.4009999999998</v>
      </c>
      <c r="O16" s="137">
        <f t="shared" si="3"/>
        <v>52.707487500000006</v>
      </c>
      <c r="P16" s="137">
        <f t="shared" si="10"/>
        <v>13.176871875000002</v>
      </c>
      <c r="Q16" s="134">
        <v>6236.9179999999997</v>
      </c>
      <c r="R16" s="136">
        <f t="shared" si="4"/>
        <v>-2020.3189999999995</v>
      </c>
      <c r="S16" s="137">
        <f t="shared" ref="S16:S25" si="16">F16/Q16*100</f>
        <v>67.607093760091132</v>
      </c>
      <c r="T16" s="86">
        <f>Q16+Q17</f>
        <v>27250.046000000002</v>
      </c>
      <c r="U16" s="86">
        <f>F16+F17</f>
        <v>18423.762999999999</v>
      </c>
    </row>
    <row r="17" spans="1:22" s="88" customFormat="1" ht="23.25" x14ac:dyDescent="0.25">
      <c r="A17" s="85" t="s">
        <v>130</v>
      </c>
      <c r="B17" s="195" t="s">
        <v>102</v>
      </c>
      <c r="C17" s="72" t="s">
        <v>94</v>
      </c>
      <c r="D17" s="133">
        <v>106000</v>
      </c>
      <c r="E17" s="133">
        <v>87500</v>
      </c>
      <c r="F17" s="134">
        <f t="shared" si="9"/>
        <v>14207.164000000001</v>
      </c>
      <c r="G17" s="133">
        <v>0</v>
      </c>
      <c r="H17" s="133">
        <v>0</v>
      </c>
      <c r="I17" s="133">
        <v>14207.164000000001</v>
      </c>
      <c r="J17" s="135">
        <v>14100</v>
      </c>
      <c r="K17" s="136">
        <f t="shared" si="1"/>
        <v>107.16400000000067</v>
      </c>
      <c r="L17" s="137">
        <f t="shared" si="15"/>
        <v>100.76002836879434</v>
      </c>
      <c r="M17" s="136">
        <f t="shared" si="11"/>
        <v>26500</v>
      </c>
      <c r="N17" s="136">
        <f t="shared" si="2"/>
        <v>-12292.835999999999</v>
      </c>
      <c r="O17" s="137">
        <f t="shared" si="3"/>
        <v>53.611939622641515</v>
      </c>
      <c r="P17" s="137">
        <f t="shared" si="10"/>
        <v>13.402984905660379</v>
      </c>
      <c r="Q17" s="134">
        <v>21013.128000000001</v>
      </c>
      <c r="R17" s="136">
        <f t="shared" si="4"/>
        <v>-6805.9639999999999</v>
      </c>
      <c r="S17" s="137">
        <f t="shared" si="16"/>
        <v>67.610895436414793</v>
      </c>
    </row>
    <row r="18" spans="1:22" s="88" customFormat="1" ht="23.25" x14ac:dyDescent="0.25">
      <c r="A18" s="85" t="s">
        <v>131</v>
      </c>
      <c r="B18" s="195" t="s">
        <v>103</v>
      </c>
      <c r="C18" s="72" t="s">
        <v>58</v>
      </c>
      <c r="D18" s="133">
        <v>145000</v>
      </c>
      <c r="E18" s="133">
        <v>134766</v>
      </c>
      <c r="F18" s="134">
        <f t="shared" si="9"/>
        <v>28311.406999999999</v>
      </c>
      <c r="G18" s="133">
        <v>13827.143</v>
      </c>
      <c r="H18" s="133">
        <v>7447.0510000000004</v>
      </c>
      <c r="I18" s="133">
        <v>7037.2129999999997</v>
      </c>
      <c r="J18" s="135">
        <v>27900</v>
      </c>
      <c r="K18" s="136">
        <f t="shared" si="1"/>
        <v>411.40699999999924</v>
      </c>
      <c r="L18" s="137">
        <f t="shared" si="15"/>
        <v>101.47457706093191</v>
      </c>
      <c r="M18" s="136">
        <f t="shared" si="11"/>
        <v>36250</v>
      </c>
      <c r="N18" s="136">
        <f t="shared" si="2"/>
        <v>-7938.5930000000008</v>
      </c>
      <c r="O18" s="137">
        <f t="shared" si="3"/>
        <v>78.100433103448268</v>
      </c>
      <c r="P18" s="137">
        <f t="shared" si="10"/>
        <v>19.525108275862067</v>
      </c>
      <c r="Q18" s="134">
        <v>24874.050000000003</v>
      </c>
      <c r="R18" s="136">
        <f t="shared" si="4"/>
        <v>3437.3569999999963</v>
      </c>
      <c r="S18" s="137">
        <f t="shared" si="16"/>
        <v>113.81904836566621</v>
      </c>
    </row>
    <row r="19" spans="1:22" s="115" customFormat="1" ht="23.25" x14ac:dyDescent="0.25">
      <c r="A19" s="80">
        <v>5</v>
      </c>
      <c r="B19" s="89" t="s">
        <v>196</v>
      </c>
      <c r="C19" s="81" t="s">
        <v>197</v>
      </c>
      <c r="D19" s="128">
        <v>0</v>
      </c>
      <c r="E19" s="128"/>
      <c r="F19" s="129">
        <f t="shared" si="9"/>
        <v>6.7789999999999999</v>
      </c>
      <c r="G19" s="128">
        <v>0</v>
      </c>
      <c r="H19" s="128">
        <v>4.5270000000000001</v>
      </c>
      <c r="I19" s="128">
        <v>2.2519999999999998</v>
      </c>
      <c r="J19" s="130">
        <v>0</v>
      </c>
      <c r="K19" s="131">
        <f t="shared" si="1"/>
        <v>6.7789999999999999</v>
      </c>
      <c r="L19" s="132"/>
      <c r="M19" s="131">
        <f t="shared" si="11"/>
        <v>0</v>
      </c>
      <c r="N19" s="131">
        <f t="shared" si="2"/>
        <v>6.7789999999999999</v>
      </c>
      <c r="O19" s="132"/>
      <c r="P19" s="132"/>
      <c r="Q19" s="129">
        <v>0</v>
      </c>
      <c r="R19" s="131">
        <f t="shared" si="4"/>
        <v>6.7789999999999999</v>
      </c>
      <c r="S19" s="132"/>
      <c r="T19" s="166"/>
      <c r="U19" s="166"/>
    </row>
    <row r="20" spans="1:22" s="115" customFormat="1" ht="23.25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>E21+E22+E23+E25+E24</f>
        <v>1024661.45</v>
      </c>
      <c r="F20" s="129">
        <f t="shared" si="9"/>
        <v>267347.37400000001</v>
      </c>
      <c r="G20" s="128">
        <f t="shared" ref="G20:J20" si="17">G21+G22+G23+G25+G24</f>
        <v>103730.772</v>
      </c>
      <c r="H20" s="128">
        <f t="shared" si="17"/>
        <v>124787.395</v>
      </c>
      <c r="I20" s="128">
        <f t="shared" si="17"/>
        <v>38829.207000000009</v>
      </c>
      <c r="J20" s="130">
        <f t="shared" si="17"/>
        <v>263952.90000000002</v>
      </c>
      <c r="K20" s="131">
        <f t="shared" si="1"/>
        <v>3394.4739999999874</v>
      </c>
      <c r="L20" s="132">
        <f t="shared" si="15"/>
        <v>101.2860150428353</v>
      </c>
      <c r="M20" s="131">
        <f t="shared" si="11"/>
        <v>287121.55874999997</v>
      </c>
      <c r="N20" s="131">
        <f t="shared" si="2"/>
        <v>-19774.184749999957</v>
      </c>
      <c r="O20" s="132">
        <f t="shared" si="3"/>
        <v>93.112957161389062</v>
      </c>
      <c r="P20" s="132">
        <f t="shared" si="10"/>
        <v>23.278239290347265</v>
      </c>
      <c r="Q20" s="129">
        <f t="shared" ref="Q20" si="18">Q21+Q22+Q23+Q25+Q24</f>
        <v>231292.992</v>
      </c>
      <c r="R20" s="131">
        <f t="shared" si="4"/>
        <v>36054.382000000012</v>
      </c>
      <c r="S20" s="132">
        <f t="shared" si="16"/>
        <v>115.58818608736749</v>
      </c>
      <c r="T20" s="166">
        <f>Q22+Q23+Q21</f>
        <v>74014.517999999982</v>
      </c>
      <c r="U20" s="166">
        <f>F21+F22+F23</f>
        <v>73132.706000000006</v>
      </c>
    </row>
    <row r="21" spans="1:22" s="117" customFormat="1" ht="34.5" customHeight="1" x14ac:dyDescent="0.25">
      <c r="A21" s="116" t="s">
        <v>141</v>
      </c>
      <c r="B21" s="196" t="s">
        <v>59</v>
      </c>
      <c r="C21" s="236" t="s">
        <v>46</v>
      </c>
      <c r="D21" s="133">
        <v>116436.235</v>
      </c>
      <c r="E21" s="133">
        <v>92667.25</v>
      </c>
      <c r="F21" s="134">
        <f t="shared" si="9"/>
        <v>19905.88</v>
      </c>
      <c r="G21" s="133">
        <v>13619.357</v>
      </c>
      <c r="H21" s="133">
        <v>3898.9369999999999</v>
      </c>
      <c r="I21" s="133">
        <v>2387.5859999999998</v>
      </c>
      <c r="J21" s="135">
        <v>18859</v>
      </c>
      <c r="K21" s="136">
        <f t="shared" si="1"/>
        <v>1046.880000000001</v>
      </c>
      <c r="L21" s="137">
        <f t="shared" si="15"/>
        <v>105.55108966541174</v>
      </c>
      <c r="M21" s="164">
        <f t="shared" si="11"/>
        <v>29109.058749999997</v>
      </c>
      <c r="N21" s="136">
        <f t="shared" si="2"/>
        <v>-9203.1787499999955</v>
      </c>
      <c r="O21" s="137">
        <f t="shared" si="3"/>
        <v>68.383798222263039</v>
      </c>
      <c r="P21" s="137">
        <f t="shared" si="10"/>
        <v>17.095949555565756</v>
      </c>
      <c r="Q21" s="134">
        <v>17363.809999999998</v>
      </c>
      <c r="R21" s="136">
        <f t="shared" si="4"/>
        <v>2542.0700000000033</v>
      </c>
      <c r="S21" s="137">
        <f t="shared" si="16"/>
        <v>114.64004731680436</v>
      </c>
    </row>
    <row r="22" spans="1:22" s="117" customFormat="1" ht="34.5" customHeight="1" x14ac:dyDescent="0.25">
      <c r="A22" s="85" t="s">
        <v>142</v>
      </c>
      <c r="B22" s="196" t="s">
        <v>7</v>
      </c>
      <c r="C22" s="236"/>
      <c r="D22" s="133">
        <v>271200</v>
      </c>
      <c r="E22" s="133">
        <v>300000</v>
      </c>
      <c r="F22" s="134">
        <f t="shared" si="9"/>
        <v>52846.344000000005</v>
      </c>
      <c r="G22" s="133">
        <v>16688.975999999999</v>
      </c>
      <c r="H22" s="133">
        <v>18871.809000000001</v>
      </c>
      <c r="I22" s="133">
        <v>17285.559000000001</v>
      </c>
      <c r="J22" s="135">
        <v>51675</v>
      </c>
      <c r="K22" s="136">
        <f t="shared" si="1"/>
        <v>1171.3440000000046</v>
      </c>
      <c r="L22" s="137">
        <f t="shared" si="15"/>
        <v>102.26675181422351</v>
      </c>
      <c r="M22" s="131">
        <f t="shared" si="11"/>
        <v>67800</v>
      </c>
      <c r="N22" s="136">
        <f t="shared" si="2"/>
        <v>-14953.655999999995</v>
      </c>
      <c r="O22" s="137">
        <f t="shared" si="3"/>
        <v>77.944460176991157</v>
      </c>
      <c r="P22" s="137">
        <f t="shared" si="10"/>
        <v>19.486115044247789</v>
      </c>
      <c r="Q22" s="134">
        <v>56119.831999999995</v>
      </c>
      <c r="R22" s="136">
        <f t="shared" si="4"/>
        <v>-3273.4879999999903</v>
      </c>
      <c r="S22" s="137">
        <f t="shared" si="16"/>
        <v>94.166967570394746</v>
      </c>
    </row>
    <row r="23" spans="1:22" s="117" customFormat="1" ht="34.5" customHeight="1" x14ac:dyDescent="0.25">
      <c r="A23" s="85" t="s">
        <v>143</v>
      </c>
      <c r="B23" s="196" t="s">
        <v>60</v>
      </c>
      <c r="C23" s="236"/>
      <c r="D23" s="133">
        <v>1200</v>
      </c>
      <c r="E23" s="133">
        <v>475</v>
      </c>
      <c r="F23" s="134">
        <f t="shared" si="9"/>
        <v>380.48199999999997</v>
      </c>
      <c r="G23" s="133">
        <v>247.57300000000001</v>
      </c>
      <c r="H23" s="133">
        <v>103.742</v>
      </c>
      <c r="I23" s="133">
        <v>29.167000000000002</v>
      </c>
      <c r="J23" s="135">
        <v>354</v>
      </c>
      <c r="K23" s="136">
        <f t="shared" si="1"/>
        <v>26.481999999999971</v>
      </c>
      <c r="L23" s="137">
        <f t="shared" si="15"/>
        <v>107.48079096045198</v>
      </c>
      <c r="M23" s="131">
        <f t="shared" si="11"/>
        <v>300</v>
      </c>
      <c r="N23" s="136">
        <f t="shared" si="2"/>
        <v>80.481999999999971</v>
      </c>
      <c r="O23" s="137">
        <f t="shared" si="3"/>
        <v>126.82733333333331</v>
      </c>
      <c r="P23" s="137">
        <f t="shared" si="10"/>
        <v>31.706833333333329</v>
      </c>
      <c r="Q23" s="134">
        <v>530.87599999999998</v>
      </c>
      <c r="R23" s="136">
        <f t="shared" si="4"/>
        <v>-150.39400000000001</v>
      </c>
      <c r="S23" s="137">
        <f t="shared" si="16"/>
        <v>71.670597276953558</v>
      </c>
      <c r="T23" s="137">
        <f>100-S23</f>
        <v>28.329402723046442</v>
      </c>
      <c r="U23" s="118"/>
      <c r="V23" s="119" t="e">
        <f>F21/#REF!*100</f>
        <v>#REF!</v>
      </c>
    </row>
    <row r="24" spans="1:22" s="121" customFormat="1" ht="34.5" customHeight="1" x14ac:dyDescent="0.25">
      <c r="A24" s="85" t="s">
        <v>144</v>
      </c>
      <c r="B24" s="196" t="s">
        <v>42</v>
      </c>
      <c r="C24" s="120" t="s">
        <v>41</v>
      </c>
      <c r="D24" s="133">
        <v>2050</v>
      </c>
      <c r="E24" s="133">
        <v>950</v>
      </c>
      <c r="F24" s="134">
        <f t="shared" si="9"/>
        <v>366.476</v>
      </c>
      <c r="G24" s="133">
        <v>94</v>
      </c>
      <c r="H24" s="133">
        <v>159.066</v>
      </c>
      <c r="I24" s="133">
        <v>113.41</v>
      </c>
      <c r="J24" s="135">
        <v>355.9</v>
      </c>
      <c r="K24" s="136">
        <f t="shared" si="1"/>
        <v>10.576000000000022</v>
      </c>
      <c r="L24" s="137">
        <f t="shared" si="15"/>
        <v>102.97162124192189</v>
      </c>
      <c r="M24" s="131">
        <f t="shared" si="11"/>
        <v>512.5</v>
      </c>
      <c r="N24" s="136">
        <f t="shared" si="2"/>
        <v>-146.024</v>
      </c>
      <c r="O24" s="137">
        <f t="shared" si="3"/>
        <v>71.507512195121947</v>
      </c>
      <c r="P24" s="137">
        <f t="shared" si="10"/>
        <v>17.876878048780487</v>
      </c>
      <c r="Q24" s="134">
        <v>224.292</v>
      </c>
      <c r="R24" s="133">
        <f t="shared" si="4"/>
        <v>142.184</v>
      </c>
      <c r="S24" s="137">
        <f t="shared" si="16"/>
        <v>163.39236352611775</v>
      </c>
    </row>
    <row r="25" spans="1:22" s="117" customFormat="1" ht="34.5" customHeight="1" x14ac:dyDescent="0.25">
      <c r="A25" s="85" t="s">
        <v>208</v>
      </c>
      <c r="B25" s="196" t="s">
        <v>35</v>
      </c>
      <c r="C25" s="160" t="s">
        <v>36</v>
      </c>
      <c r="D25" s="133">
        <v>757600</v>
      </c>
      <c r="E25" s="133">
        <v>630569.19999999995</v>
      </c>
      <c r="F25" s="134">
        <f t="shared" si="9"/>
        <v>193848.19199999998</v>
      </c>
      <c r="G25" s="133">
        <v>73080.865999999995</v>
      </c>
      <c r="H25" s="133">
        <v>101753.841</v>
      </c>
      <c r="I25" s="133">
        <v>19013.485000000001</v>
      </c>
      <c r="J25" s="135">
        <v>192709</v>
      </c>
      <c r="K25" s="136">
        <f t="shared" si="1"/>
        <v>1139.1919999999809</v>
      </c>
      <c r="L25" s="137">
        <f t="shared" si="15"/>
        <v>100.59114623603462</v>
      </c>
      <c r="M25" s="131">
        <f t="shared" si="11"/>
        <v>189400</v>
      </c>
      <c r="N25" s="136">
        <f t="shared" si="2"/>
        <v>4448.1919999999809</v>
      </c>
      <c r="O25" s="137">
        <f t="shared" si="3"/>
        <v>102.34857022175289</v>
      </c>
      <c r="P25" s="137">
        <f t="shared" si="10"/>
        <v>25.587142555438223</v>
      </c>
      <c r="Q25" s="134">
        <v>157054.182</v>
      </c>
      <c r="R25" s="136">
        <f t="shared" si="4"/>
        <v>36794.00999999998</v>
      </c>
      <c r="S25" s="137">
        <f t="shared" si="16"/>
        <v>123.42759010390438</v>
      </c>
      <c r="U25" s="118"/>
      <c r="V25" s="119" t="e">
        <f>F25/#REF!*100</f>
        <v>#REF!</v>
      </c>
    </row>
    <row r="26" spans="1:22" s="84" customFormat="1" ht="39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v>450</v>
      </c>
      <c r="F26" s="129">
        <f t="shared" si="9"/>
        <v>52.402999999999999</v>
      </c>
      <c r="G26" s="128">
        <v>1.284</v>
      </c>
      <c r="H26" s="128">
        <v>40.808</v>
      </c>
      <c r="I26" s="128">
        <v>10.311</v>
      </c>
      <c r="J26" s="130">
        <v>51</v>
      </c>
      <c r="K26" s="131">
        <f t="shared" si="1"/>
        <v>1.4029999999999987</v>
      </c>
      <c r="L26" s="132">
        <f t="shared" si="15"/>
        <v>102.75098039215686</v>
      </c>
      <c r="M26" s="131">
        <f t="shared" si="11"/>
        <v>237.5</v>
      </c>
      <c r="N26" s="131">
        <f t="shared" si="2"/>
        <v>-185.09700000000001</v>
      </c>
      <c r="O26" s="132">
        <f t="shared" si="3"/>
        <v>22.064421052631577</v>
      </c>
      <c r="P26" s="132">
        <f t="shared" si="10"/>
        <v>5.5161052631578942</v>
      </c>
      <c r="Q26" s="129">
        <v>93.387</v>
      </c>
      <c r="R26" s="131">
        <f t="shared" si="4"/>
        <v>-40.984000000000002</v>
      </c>
      <c r="S26" s="132">
        <f>F26/Q26*100</f>
        <v>56.113805990127105</v>
      </c>
      <c r="T26" s="83">
        <f>100-S26</f>
        <v>43.886194009872895</v>
      </c>
    </row>
    <row r="27" spans="1:22" s="84" customFormat="1" ht="23.25" x14ac:dyDescent="0.25">
      <c r="A27" s="80">
        <f t="shared" ref="A27:A34" si="19">A26+1</f>
        <v>8</v>
      </c>
      <c r="B27" s="89" t="s">
        <v>76</v>
      </c>
      <c r="C27" s="81" t="s">
        <v>75</v>
      </c>
      <c r="D27" s="128">
        <v>12000</v>
      </c>
      <c r="E27" s="128">
        <v>12000</v>
      </c>
      <c r="F27" s="129">
        <f t="shared" si="9"/>
        <v>2990.8999999999996</v>
      </c>
      <c r="G27" s="128">
        <v>501.13</v>
      </c>
      <c r="H27" s="128">
        <v>1239.6949999999999</v>
      </c>
      <c r="I27" s="128">
        <v>1250.075</v>
      </c>
      <c r="J27" s="130">
        <v>2650</v>
      </c>
      <c r="K27" s="131">
        <f t="shared" si="1"/>
        <v>340.89999999999964</v>
      </c>
      <c r="L27" s="132">
        <f t="shared" si="15"/>
        <v>112.86415094339621</v>
      </c>
      <c r="M27" s="131">
        <f t="shared" si="11"/>
        <v>3000</v>
      </c>
      <c r="N27" s="131">
        <f t="shared" si="2"/>
        <v>-9.1000000000003638</v>
      </c>
      <c r="O27" s="132">
        <f t="shared" si="3"/>
        <v>99.696666666666658</v>
      </c>
      <c r="P27" s="132">
        <f t="shared" si="10"/>
        <v>24.924166666666665</v>
      </c>
      <c r="Q27" s="129">
        <v>3263.4790000000003</v>
      </c>
      <c r="R27" s="131">
        <f t="shared" si="4"/>
        <v>-272.57900000000063</v>
      </c>
      <c r="S27" s="132">
        <f>F27/Q27*100</f>
        <v>91.647594484291133</v>
      </c>
    </row>
    <row r="28" spans="1:22" s="84" customFormat="1" ht="23.25" x14ac:dyDescent="0.25">
      <c r="A28" s="80">
        <f t="shared" si="19"/>
        <v>9</v>
      </c>
      <c r="B28" s="89" t="s">
        <v>8</v>
      </c>
      <c r="C28" s="81" t="s">
        <v>19</v>
      </c>
      <c r="D28" s="128">
        <v>6.1</v>
      </c>
      <c r="E28" s="128">
        <v>5.5</v>
      </c>
      <c r="F28" s="129">
        <f t="shared" si="9"/>
        <v>0</v>
      </c>
      <c r="G28" s="128">
        <v>0</v>
      </c>
      <c r="H28" s="128"/>
      <c r="I28" s="128">
        <v>0</v>
      </c>
      <c r="J28" s="130">
        <v>0</v>
      </c>
      <c r="K28" s="131">
        <f t="shared" si="1"/>
        <v>0</v>
      </c>
      <c r="L28" s="132"/>
      <c r="M28" s="131">
        <f t="shared" si="11"/>
        <v>1.5249999999999999</v>
      </c>
      <c r="N28" s="131">
        <f t="shared" si="2"/>
        <v>-1.5249999999999999</v>
      </c>
      <c r="O28" s="132">
        <f t="shared" si="3"/>
        <v>0</v>
      </c>
      <c r="P28" s="132">
        <f t="shared" si="10"/>
        <v>0</v>
      </c>
      <c r="Q28" s="129">
        <v>0.38</v>
      </c>
      <c r="R28" s="131">
        <f t="shared" si="4"/>
        <v>-0.38</v>
      </c>
      <c r="S28" s="132"/>
    </row>
    <row r="29" spans="1:22" s="84" customFormat="1" ht="39.75" customHeight="1" x14ac:dyDescent="0.25">
      <c r="A29" s="80">
        <f t="shared" si="19"/>
        <v>10</v>
      </c>
      <c r="B29" s="207" t="s">
        <v>97</v>
      </c>
      <c r="C29" s="109" t="s">
        <v>98</v>
      </c>
      <c r="D29" s="128">
        <v>0.05</v>
      </c>
      <c r="E29" s="128">
        <v>4.5</v>
      </c>
      <c r="F29" s="129">
        <f t="shared" si="9"/>
        <v>5.1849999999999996</v>
      </c>
      <c r="G29" s="128">
        <v>5.1849999999999996</v>
      </c>
      <c r="H29" s="128"/>
      <c r="I29" s="128">
        <v>0</v>
      </c>
      <c r="J29" s="130">
        <v>0.05</v>
      </c>
      <c r="K29" s="131">
        <f t="shared" si="1"/>
        <v>5.1349999999999998</v>
      </c>
      <c r="L29" s="132">
        <f t="shared" ref="L29:L40" si="20">F29/J29*100</f>
        <v>10369.999999999998</v>
      </c>
      <c r="M29" s="131">
        <f t="shared" si="11"/>
        <v>1.2500000000000001E-2</v>
      </c>
      <c r="N29" s="131">
        <f t="shared" si="2"/>
        <v>5.1724999999999994</v>
      </c>
      <c r="O29" s="132">
        <f t="shared" si="3"/>
        <v>41479.999999999993</v>
      </c>
      <c r="P29" s="132">
        <f t="shared" si="10"/>
        <v>10369.999999999998</v>
      </c>
      <c r="Q29" s="129">
        <v>0</v>
      </c>
      <c r="R29" s="131">
        <f t="shared" si="4"/>
        <v>5.1849999999999996</v>
      </c>
      <c r="S29" s="132"/>
    </row>
    <row r="30" spans="1:22" s="84" customFormat="1" ht="23.25" x14ac:dyDescent="0.25">
      <c r="A30" s="80">
        <f t="shared" si="19"/>
        <v>11</v>
      </c>
      <c r="B30" s="147" t="s">
        <v>32</v>
      </c>
      <c r="C30" s="81" t="s">
        <v>25</v>
      </c>
      <c r="D30" s="128">
        <v>14300</v>
      </c>
      <c r="E30" s="128">
        <v>8804.73</v>
      </c>
      <c r="F30" s="129">
        <f t="shared" si="9"/>
        <v>2278.2849999999999</v>
      </c>
      <c r="G30" s="128">
        <v>1031.287</v>
      </c>
      <c r="H30" s="128">
        <v>1145.06</v>
      </c>
      <c r="I30" s="128">
        <v>101.938</v>
      </c>
      <c r="J30" s="130">
        <v>2245</v>
      </c>
      <c r="K30" s="131">
        <f t="shared" si="1"/>
        <v>33.284999999999854</v>
      </c>
      <c r="L30" s="132">
        <f t="shared" si="20"/>
        <v>101.48262806236079</v>
      </c>
      <c r="M30" s="131">
        <f t="shared" si="11"/>
        <v>3575</v>
      </c>
      <c r="N30" s="131">
        <f t="shared" si="2"/>
        <v>-1296.7150000000001</v>
      </c>
      <c r="O30" s="132">
        <f t="shared" si="3"/>
        <v>63.728251748251743</v>
      </c>
      <c r="P30" s="132">
        <f t="shared" si="10"/>
        <v>15.932062937062936</v>
      </c>
      <c r="Q30" s="129">
        <v>2086.6289999999999</v>
      </c>
      <c r="R30" s="131">
        <f t="shared" si="4"/>
        <v>191.65599999999995</v>
      </c>
      <c r="S30" s="132">
        <f t="shared" ref="S30:S40" si="21">F30/Q30*100</f>
        <v>109.18495813103335</v>
      </c>
      <c r="T30" s="83">
        <f>100-S30</f>
        <v>-9.1849581310333548</v>
      </c>
    </row>
    <row r="31" spans="1:22" s="84" customFormat="1" ht="39" x14ac:dyDescent="0.25">
      <c r="A31" s="80">
        <f t="shared" si="19"/>
        <v>12</v>
      </c>
      <c r="B31" s="147" t="s">
        <v>87</v>
      </c>
      <c r="C31" s="81" t="s">
        <v>86</v>
      </c>
      <c r="D31" s="128">
        <v>560</v>
      </c>
      <c r="E31" s="128">
        <v>410</v>
      </c>
      <c r="F31" s="129">
        <f t="shared" si="9"/>
        <v>86.575000000000003</v>
      </c>
      <c r="G31" s="128">
        <v>79.635000000000005</v>
      </c>
      <c r="H31" s="128">
        <v>6.94</v>
      </c>
      <c r="I31" s="128">
        <v>0</v>
      </c>
      <c r="J31" s="130">
        <v>86</v>
      </c>
      <c r="K31" s="131">
        <f t="shared" si="1"/>
        <v>0.57500000000000284</v>
      </c>
      <c r="L31" s="132">
        <f t="shared" si="20"/>
        <v>100.66860465116278</v>
      </c>
      <c r="M31" s="131">
        <f t="shared" si="11"/>
        <v>140</v>
      </c>
      <c r="N31" s="131">
        <f t="shared" si="2"/>
        <v>-53.424999999999997</v>
      </c>
      <c r="O31" s="132">
        <f t="shared" si="3"/>
        <v>61.839285714285722</v>
      </c>
      <c r="P31" s="132">
        <f t="shared" si="10"/>
        <v>15.459821428571431</v>
      </c>
      <c r="Q31" s="129">
        <v>53.5</v>
      </c>
      <c r="R31" s="131">
        <f t="shared" si="4"/>
        <v>33.075000000000003</v>
      </c>
      <c r="S31" s="132">
        <f t="shared" si="21"/>
        <v>161.82242990654206</v>
      </c>
    </row>
    <row r="32" spans="1:22" s="84" customFormat="1" ht="23.25" x14ac:dyDescent="0.25">
      <c r="A32" s="80">
        <f t="shared" si="19"/>
        <v>13</v>
      </c>
      <c r="B32" s="147" t="s">
        <v>117</v>
      </c>
      <c r="C32" s="81" t="s">
        <v>118</v>
      </c>
      <c r="D32" s="128">
        <v>18563.54</v>
      </c>
      <c r="E32" s="128">
        <v>15000</v>
      </c>
      <c r="F32" s="129">
        <f t="shared" si="9"/>
        <v>4223.857</v>
      </c>
      <c r="G32" s="128">
        <v>1407.4690000000001</v>
      </c>
      <c r="H32" s="128">
        <v>1637.8989999999999</v>
      </c>
      <c r="I32" s="128">
        <v>1178.489</v>
      </c>
      <c r="J32" s="130">
        <v>4100</v>
      </c>
      <c r="K32" s="131">
        <f t="shared" si="1"/>
        <v>123.85699999999997</v>
      </c>
      <c r="L32" s="132">
        <f t="shared" si="20"/>
        <v>103.0209024390244</v>
      </c>
      <c r="M32" s="131">
        <f t="shared" si="11"/>
        <v>4640.8850000000002</v>
      </c>
      <c r="N32" s="131">
        <f t="shared" si="2"/>
        <v>-417.02800000000025</v>
      </c>
      <c r="O32" s="132">
        <f t="shared" si="3"/>
        <v>91.014041502859897</v>
      </c>
      <c r="P32" s="132">
        <f t="shared" si="10"/>
        <v>22.753510375714974</v>
      </c>
      <c r="Q32" s="129">
        <v>4512.2739999999994</v>
      </c>
      <c r="R32" s="131">
        <f t="shared" si="4"/>
        <v>-288.41699999999946</v>
      </c>
      <c r="S32" s="132">
        <f t="shared" si="21"/>
        <v>93.608167411819423</v>
      </c>
    </row>
    <row r="33" spans="1:26" s="84" customFormat="1" ht="59.25" customHeight="1" x14ac:dyDescent="0.25">
      <c r="A33" s="80">
        <f t="shared" si="19"/>
        <v>14</v>
      </c>
      <c r="B33" s="147" t="s">
        <v>176</v>
      </c>
      <c r="C33" s="81" t="s">
        <v>177</v>
      </c>
      <c r="D33" s="128">
        <v>35</v>
      </c>
      <c r="E33" s="128"/>
      <c r="F33" s="129">
        <f t="shared" si="9"/>
        <v>16.411999999999999</v>
      </c>
      <c r="G33" s="128">
        <v>8.39</v>
      </c>
      <c r="H33" s="128">
        <v>6.0720000000000001</v>
      </c>
      <c r="I33" s="128">
        <v>1.95</v>
      </c>
      <c r="J33" s="130">
        <v>16.399999999999999</v>
      </c>
      <c r="K33" s="131">
        <f t="shared" si="1"/>
        <v>1.2000000000000455E-2</v>
      </c>
      <c r="L33" s="132">
        <f t="shared" si="20"/>
        <v>100.07317073170732</v>
      </c>
      <c r="M33" s="131">
        <f t="shared" si="11"/>
        <v>8.75</v>
      </c>
      <c r="N33" s="131">
        <f t="shared" si="2"/>
        <v>7.661999999999999</v>
      </c>
      <c r="O33" s="132">
        <f>F33/M33*100</f>
        <v>187.56571428571428</v>
      </c>
      <c r="P33" s="132">
        <f t="shared" si="10"/>
        <v>46.89142857142857</v>
      </c>
      <c r="Q33" s="129">
        <v>3.319</v>
      </c>
      <c r="R33" s="131">
        <f t="shared" si="4"/>
        <v>13.093</v>
      </c>
      <c r="S33" s="132">
        <f t="shared" si="21"/>
        <v>494.4862910515215</v>
      </c>
    </row>
    <row r="34" spans="1:26" s="84" customFormat="1" ht="23.25" x14ac:dyDescent="0.25">
      <c r="A34" s="80">
        <f t="shared" si="19"/>
        <v>15</v>
      </c>
      <c r="B34" s="147" t="s">
        <v>89</v>
      </c>
      <c r="C34" s="81" t="s">
        <v>88</v>
      </c>
      <c r="D34" s="128">
        <f>SUM(D35:D38)</f>
        <v>34832</v>
      </c>
      <c r="E34" s="128">
        <f>SUM(E35:E38)</f>
        <v>27762.799999999999</v>
      </c>
      <c r="F34" s="129">
        <f t="shared" si="9"/>
        <v>7336.2809999999999</v>
      </c>
      <c r="G34" s="128">
        <f t="shared" ref="G34:J34" si="22">SUM(G35:G38)</f>
        <v>2780.7419999999997</v>
      </c>
      <c r="H34" s="128">
        <f t="shared" si="22"/>
        <v>3150.4549999999999</v>
      </c>
      <c r="I34" s="128">
        <f t="shared" si="22"/>
        <v>1405.0839999999998</v>
      </c>
      <c r="J34" s="130">
        <f t="shared" si="22"/>
        <v>7207.3909999999996</v>
      </c>
      <c r="K34" s="131">
        <f t="shared" si="1"/>
        <v>128.89000000000033</v>
      </c>
      <c r="L34" s="132">
        <f t="shared" si="20"/>
        <v>101.78830314603439</v>
      </c>
      <c r="M34" s="131">
        <f t="shared" si="11"/>
        <v>8708</v>
      </c>
      <c r="N34" s="131">
        <f t="shared" si="2"/>
        <v>-1371.7190000000001</v>
      </c>
      <c r="O34" s="132">
        <f t="shared" si="3"/>
        <v>84.247599908130454</v>
      </c>
      <c r="P34" s="132">
        <f t="shared" si="10"/>
        <v>21.061899977032613</v>
      </c>
      <c r="Q34" s="129">
        <f t="shared" ref="Q34" si="23">SUM(Q35:Q38)</f>
        <v>6719.8029999999999</v>
      </c>
      <c r="R34" s="131">
        <f t="shared" si="4"/>
        <v>616.47800000000007</v>
      </c>
      <c r="S34" s="132">
        <f t="shared" si="21"/>
        <v>109.1740487035111</v>
      </c>
    </row>
    <row r="35" spans="1:26" s="88" customFormat="1" ht="39" x14ac:dyDescent="0.25">
      <c r="A35" s="85" t="s">
        <v>209</v>
      </c>
      <c r="B35" s="148" t="s">
        <v>81</v>
      </c>
      <c r="C35" s="160" t="s">
        <v>80</v>
      </c>
      <c r="D35" s="133">
        <v>1500</v>
      </c>
      <c r="E35" s="133">
        <v>1300</v>
      </c>
      <c r="F35" s="134">
        <f t="shared" si="9"/>
        <v>233.03900000000002</v>
      </c>
      <c r="G35" s="133">
        <v>105.29900000000001</v>
      </c>
      <c r="H35" s="133">
        <v>116.64</v>
      </c>
      <c r="I35" s="133">
        <v>11.1</v>
      </c>
      <c r="J35" s="135">
        <v>221</v>
      </c>
      <c r="K35" s="136">
        <f t="shared" si="1"/>
        <v>12.039000000000016</v>
      </c>
      <c r="L35" s="137">
        <f t="shared" si="20"/>
        <v>105.44751131221722</v>
      </c>
      <c r="M35" s="131">
        <f t="shared" si="11"/>
        <v>375</v>
      </c>
      <c r="N35" s="136">
        <f t="shared" si="2"/>
        <v>-141.96099999999998</v>
      </c>
      <c r="O35" s="137">
        <f t="shared" si="3"/>
        <v>62.143733333333337</v>
      </c>
      <c r="P35" s="137">
        <f t="shared" si="10"/>
        <v>15.535933333333334</v>
      </c>
      <c r="Q35" s="134">
        <v>356.71600000000001</v>
      </c>
      <c r="R35" s="136">
        <f t="shared" si="4"/>
        <v>-123.67699999999999</v>
      </c>
      <c r="S35" s="137">
        <f t="shared" si="21"/>
        <v>65.329001222260857</v>
      </c>
      <c r="T35" s="137">
        <f>S35-100</f>
        <v>-34.670998777739143</v>
      </c>
      <c r="U35" s="86"/>
    </row>
    <row r="36" spans="1:26" s="88" customFormat="1" ht="23.25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v>24922.799999999999</v>
      </c>
      <c r="F36" s="134">
        <f t="shared" si="9"/>
        <v>6882.0640000000003</v>
      </c>
      <c r="G36" s="133">
        <v>2558.1509999999998</v>
      </c>
      <c r="H36" s="133">
        <v>2929.9290000000001</v>
      </c>
      <c r="I36" s="133">
        <v>1393.9839999999999</v>
      </c>
      <c r="J36" s="135">
        <v>6766.2910000000002</v>
      </c>
      <c r="K36" s="136">
        <f t="shared" si="1"/>
        <v>115.77300000000014</v>
      </c>
      <c r="L36" s="137">
        <f t="shared" si="20"/>
        <v>101.71102602592765</v>
      </c>
      <c r="M36" s="131">
        <f t="shared" si="11"/>
        <v>8000</v>
      </c>
      <c r="N36" s="136">
        <f t="shared" si="2"/>
        <v>-1117.9359999999997</v>
      </c>
      <c r="O36" s="137">
        <f t="shared" si="3"/>
        <v>86.025800000000004</v>
      </c>
      <c r="P36" s="137">
        <f t="shared" si="10"/>
        <v>21.506450000000001</v>
      </c>
      <c r="Q36" s="134">
        <v>5986.6379999999999</v>
      </c>
      <c r="R36" s="136">
        <f t="shared" si="4"/>
        <v>895.42600000000039</v>
      </c>
      <c r="S36" s="137">
        <f t="shared" si="21"/>
        <v>114.95707607508589</v>
      </c>
      <c r="T36" s="137">
        <f>S36-100</f>
        <v>14.957076075085894</v>
      </c>
      <c r="U36" s="87"/>
    </row>
    <row r="37" spans="1:26" s="88" customFormat="1" ht="27.75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v>1400</v>
      </c>
      <c r="F37" s="134">
        <f t="shared" si="9"/>
        <v>204.708</v>
      </c>
      <c r="G37" s="133">
        <v>109.502</v>
      </c>
      <c r="H37" s="133">
        <v>95.206000000000003</v>
      </c>
      <c r="I37" s="133">
        <v>0</v>
      </c>
      <c r="J37" s="135">
        <v>203.7</v>
      </c>
      <c r="K37" s="136">
        <f t="shared" si="1"/>
        <v>1.0080000000000098</v>
      </c>
      <c r="L37" s="137">
        <f t="shared" si="20"/>
        <v>100.49484536082474</v>
      </c>
      <c r="M37" s="131">
        <f t="shared" si="11"/>
        <v>312.5</v>
      </c>
      <c r="N37" s="136">
        <f t="shared" si="2"/>
        <v>-107.792</v>
      </c>
      <c r="O37" s="137">
        <f t="shared" si="3"/>
        <v>65.506560000000007</v>
      </c>
      <c r="P37" s="137">
        <f t="shared" si="10"/>
        <v>16.376640000000002</v>
      </c>
      <c r="Q37" s="134">
        <v>357.32899999999995</v>
      </c>
      <c r="R37" s="136">
        <f t="shared" si="4"/>
        <v>-152.62099999999995</v>
      </c>
      <c r="S37" s="137">
        <f t="shared" si="21"/>
        <v>57.2883812956687</v>
      </c>
    </row>
    <row r="38" spans="1:26" s="88" customFormat="1" ht="58.5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v>140</v>
      </c>
      <c r="F38" s="134">
        <f t="shared" si="9"/>
        <v>16.47</v>
      </c>
      <c r="G38" s="133">
        <v>7.79</v>
      </c>
      <c r="H38" s="133">
        <v>8.68</v>
      </c>
      <c r="I38" s="133">
        <v>0</v>
      </c>
      <c r="J38" s="135">
        <v>16.399999999999999</v>
      </c>
      <c r="K38" s="136">
        <f t="shared" si="1"/>
        <v>7.0000000000000284E-2</v>
      </c>
      <c r="L38" s="137">
        <f t="shared" si="20"/>
        <v>100.42682926829269</v>
      </c>
      <c r="M38" s="131">
        <f t="shared" si="11"/>
        <v>20.5</v>
      </c>
      <c r="N38" s="136">
        <f t="shared" si="2"/>
        <v>-4.0300000000000011</v>
      </c>
      <c r="O38" s="137">
        <f t="shared" si="3"/>
        <v>80.341463414634134</v>
      </c>
      <c r="P38" s="137">
        <f t="shared" si="10"/>
        <v>20.085365853658534</v>
      </c>
      <c r="Q38" s="134">
        <v>19.12</v>
      </c>
      <c r="R38" s="136">
        <f t="shared" si="4"/>
        <v>-2.6500000000000021</v>
      </c>
      <c r="S38" s="137">
        <f t="shared" si="21"/>
        <v>86.140167364016733</v>
      </c>
    </row>
    <row r="39" spans="1:26" s="84" customFormat="1" ht="39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v>12000</v>
      </c>
      <c r="F39" s="129">
        <f t="shared" si="9"/>
        <v>2923.6280000000002</v>
      </c>
      <c r="G39" s="128">
        <v>1496.537</v>
      </c>
      <c r="H39" s="128">
        <v>908.923</v>
      </c>
      <c r="I39" s="128">
        <v>518.16800000000001</v>
      </c>
      <c r="J39" s="130">
        <v>2913.5</v>
      </c>
      <c r="K39" s="131">
        <f t="shared" si="1"/>
        <v>10.128000000000156</v>
      </c>
      <c r="L39" s="132">
        <f t="shared" si="20"/>
        <v>100.34762313368802</v>
      </c>
      <c r="M39" s="131">
        <f t="shared" si="11"/>
        <v>3075</v>
      </c>
      <c r="N39" s="131">
        <f t="shared" si="2"/>
        <v>-151.37199999999984</v>
      </c>
      <c r="O39" s="132">
        <f t="shared" si="3"/>
        <v>95.077333333333343</v>
      </c>
      <c r="P39" s="132">
        <f t="shared" si="10"/>
        <v>23.769333333333336</v>
      </c>
      <c r="Q39" s="129">
        <v>2852.6040000000003</v>
      </c>
      <c r="R39" s="131">
        <f t="shared" si="4"/>
        <v>71.023999999999887</v>
      </c>
      <c r="S39" s="132">
        <f t="shared" si="21"/>
        <v>102.48979528879578</v>
      </c>
    </row>
    <row r="40" spans="1:26" s="84" customFormat="1" ht="23.25" x14ac:dyDescent="0.25">
      <c r="A40" s="80">
        <f t="shared" ref="A40:A46" si="24">A39+1</f>
        <v>17</v>
      </c>
      <c r="B40" s="89" t="s">
        <v>56</v>
      </c>
      <c r="C40" s="81" t="s">
        <v>16</v>
      </c>
      <c r="D40" s="128">
        <v>600</v>
      </c>
      <c r="E40" s="128">
        <v>600.5</v>
      </c>
      <c r="F40" s="129">
        <f t="shared" si="9"/>
        <v>91.128</v>
      </c>
      <c r="G40" s="128">
        <v>46.207000000000001</v>
      </c>
      <c r="H40" s="128">
        <v>38.993000000000002</v>
      </c>
      <c r="I40" s="128">
        <v>5.9279999999999999</v>
      </c>
      <c r="J40" s="130">
        <v>86.100999999999999</v>
      </c>
      <c r="K40" s="131">
        <f t="shared" si="1"/>
        <v>5.027000000000001</v>
      </c>
      <c r="L40" s="132">
        <f t="shared" si="20"/>
        <v>105.8384920035772</v>
      </c>
      <c r="M40" s="131">
        <f t="shared" si="11"/>
        <v>150</v>
      </c>
      <c r="N40" s="131">
        <f t="shared" si="2"/>
        <v>-58.872</v>
      </c>
      <c r="O40" s="132">
        <f t="shared" si="3"/>
        <v>60.751999999999995</v>
      </c>
      <c r="P40" s="132">
        <f t="shared" si="10"/>
        <v>15.187999999999999</v>
      </c>
      <c r="Q40" s="129">
        <v>113.398</v>
      </c>
      <c r="R40" s="131">
        <f t="shared" si="4"/>
        <v>-22.269999999999996</v>
      </c>
      <c r="S40" s="132">
        <f t="shared" si="21"/>
        <v>80.361205665002913</v>
      </c>
      <c r="T40" s="83">
        <f>100-S40</f>
        <v>19.638794334997087</v>
      </c>
    </row>
    <row r="41" spans="1:26" s="84" customFormat="1" ht="63" customHeight="1" x14ac:dyDescent="0.25">
      <c r="A41" s="80">
        <f t="shared" si="24"/>
        <v>18</v>
      </c>
      <c r="B41" s="89" t="s">
        <v>105</v>
      </c>
      <c r="C41" s="81" t="s">
        <v>104</v>
      </c>
      <c r="D41" s="128">
        <v>2.6</v>
      </c>
      <c r="E41" s="128">
        <v>2.5499999999999998</v>
      </c>
      <c r="F41" s="129">
        <f t="shared" si="9"/>
        <v>0</v>
      </c>
      <c r="G41" s="128">
        <v>0</v>
      </c>
      <c r="H41" s="128">
        <v>0</v>
      </c>
      <c r="I41" s="128">
        <v>0</v>
      </c>
      <c r="J41" s="130">
        <v>0</v>
      </c>
      <c r="K41" s="131">
        <f t="shared" si="1"/>
        <v>0</v>
      </c>
      <c r="L41" s="132"/>
      <c r="M41" s="131">
        <f t="shared" si="11"/>
        <v>0.65</v>
      </c>
      <c r="N41" s="131">
        <f t="shared" si="2"/>
        <v>-0.65</v>
      </c>
      <c r="O41" s="132"/>
      <c r="P41" s="132">
        <f t="shared" si="10"/>
        <v>0</v>
      </c>
      <c r="Q41" s="129">
        <v>0</v>
      </c>
      <c r="R41" s="131">
        <f t="shared" si="4"/>
        <v>0</v>
      </c>
      <c r="S41" s="132"/>
    </row>
    <row r="42" spans="1:26" s="84" customFormat="1" ht="23.25" x14ac:dyDescent="0.25">
      <c r="A42" s="80">
        <f t="shared" si="24"/>
        <v>19</v>
      </c>
      <c r="B42" s="114" t="s">
        <v>63</v>
      </c>
      <c r="C42" s="34" t="s">
        <v>64</v>
      </c>
      <c r="D42" s="128">
        <v>235</v>
      </c>
      <c r="E42" s="128">
        <v>70</v>
      </c>
      <c r="F42" s="129">
        <f t="shared" si="9"/>
        <v>0</v>
      </c>
      <c r="G42" s="128">
        <v>0</v>
      </c>
      <c r="H42" s="128">
        <v>0</v>
      </c>
      <c r="I42" s="128">
        <v>0</v>
      </c>
      <c r="J42" s="130">
        <v>0</v>
      </c>
      <c r="K42" s="131">
        <f t="shared" si="1"/>
        <v>0</v>
      </c>
      <c r="L42" s="132"/>
      <c r="M42" s="131">
        <f t="shared" si="11"/>
        <v>58.75</v>
      </c>
      <c r="N42" s="131">
        <f t="shared" si="2"/>
        <v>-58.75</v>
      </c>
      <c r="O42" s="132">
        <f t="shared" ref="O42:O47" si="25">F42/M42*100</f>
        <v>0</v>
      </c>
      <c r="P42" s="132">
        <f t="shared" si="10"/>
        <v>0</v>
      </c>
      <c r="Q42" s="129">
        <v>0</v>
      </c>
      <c r="R42" s="131">
        <f t="shared" si="4"/>
        <v>0</v>
      </c>
      <c r="S42" s="132"/>
    </row>
    <row r="43" spans="1:26" s="84" customFormat="1" ht="23.25" x14ac:dyDescent="0.25">
      <c r="A43" s="80">
        <f t="shared" si="24"/>
        <v>20</v>
      </c>
      <c r="B43" s="89" t="s">
        <v>8</v>
      </c>
      <c r="C43" s="81" t="s">
        <v>21</v>
      </c>
      <c r="D43" s="128">
        <v>1700</v>
      </c>
      <c r="E43" s="128">
        <v>1400</v>
      </c>
      <c r="F43" s="129">
        <f t="shared" si="9"/>
        <v>397.84300000000002</v>
      </c>
      <c r="G43" s="128">
        <v>229.78800000000001</v>
      </c>
      <c r="H43" s="128">
        <v>139.07599999999999</v>
      </c>
      <c r="I43" s="128">
        <v>28.978999999999999</v>
      </c>
      <c r="J43" s="130">
        <v>380</v>
      </c>
      <c r="K43" s="131">
        <f t="shared" si="1"/>
        <v>17.843000000000018</v>
      </c>
      <c r="L43" s="132">
        <f>F43/J43*100</f>
        <v>104.69552631578949</v>
      </c>
      <c r="M43" s="131">
        <f t="shared" si="11"/>
        <v>425</v>
      </c>
      <c r="N43" s="131">
        <f t="shared" si="2"/>
        <v>-27.156999999999982</v>
      </c>
      <c r="O43" s="132">
        <f t="shared" si="25"/>
        <v>93.610117647058829</v>
      </c>
      <c r="P43" s="132">
        <f t="shared" si="10"/>
        <v>23.402529411764707</v>
      </c>
      <c r="Q43" s="129">
        <v>462.09800000000001</v>
      </c>
      <c r="R43" s="131">
        <f t="shared" si="4"/>
        <v>-64.254999999999995</v>
      </c>
      <c r="S43" s="132">
        <f>F43/Q43*100</f>
        <v>86.094940899982248</v>
      </c>
      <c r="W43" s="84">
        <v>246438.04</v>
      </c>
    </row>
    <row r="44" spans="1:26" s="84" customFormat="1" ht="97.5" x14ac:dyDescent="0.25">
      <c r="A44" s="80">
        <f t="shared" si="24"/>
        <v>21</v>
      </c>
      <c r="B44" s="89" t="s">
        <v>55</v>
      </c>
      <c r="C44" s="81" t="s">
        <v>49</v>
      </c>
      <c r="D44" s="128">
        <v>1000</v>
      </c>
      <c r="E44" s="128">
        <v>1000</v>
      </c>
      <c r="F44" s="129">
        <f t="shared" si="9"/>
        <v>261.923</v>
      </c>
      <c r="G44" s="128">
        <v>162.79300000000001</v>
      </c>
      <c r="H44" s="128">
        <v>1.9590000000000001</v>
      </c>
      <c r="I44" s="128">
        <v>97.171000000000006</v>
      </c>
      <c r="J44" s="130">
        <v>261.7</v>
      </c>
      <c r="K44" s="131">
        <f t="shared" si="1"/>
        <v>0.22300000000001319</v>
      </c>
      <c r="L44" s="132">
        <f>F44/J44*100</f>
        <v>100.08521207489491</v>
      </c>
      <c r="M44" s="131">
        <f t="shared" si="11"/>
        <v>250</v>
      </c>
      <c r="N44" s="131">
        <f t="shared" si="2"/>
        <v>11.923000000000002</v>
      </c>
      <c r="O44" s="132">
        <f t="shared" si="25"/>
        <v>104.76920000000001</v>
      </c>
      <c r="P44" s="132">
        <f t="shared" si="10"/>
        <v>26.192300000000003</v>
      </c>
      <c r="Q44" s="129">
        <v>330.303</v>
      </c>
      <c r="R44" s="131">
        <f t="shared" si="4"/>
        <v>-68.38</v>
      </c>
      <c r="S44" s="132">
        <f>F44/Q44*100</f>
        <v>79.297796265852867</v>
      </c>
    </row>
    <row r="45" spans="1:26" s="84" customFormat="1" ht="58.5" x14ac:dyDescent="0.25">
      <c r="A45" s="80">
        <f t="shared" si="24"/>
        <v>22</v>
      </c>
      <c r="B45" s="89" t="s">
        <v>133</v>
      </c>
      <c r="C45" s="81" t="s">
        <v>132</v>
      </c>
      <c r="D45" s="128">
        <v>1</v>
      </c>
      <c r="E45" s="128">
        <v>15</v>
      </c>
      <c r="F45" s="129">
        <f t="shared" si="9"/>
        <v>0</v>
      </c>
      <c r="G45" s="128">
        <v>0</v>
      </c>
      <c r="H45" s="128">
        <v>0</v>
      </c>
      <c r="I45" s="128">
        <v>0</v>
      </c>
      <c r="J45" s="130">
        <v>0</v>
      </c>
      <c r="K45" s="131">
        <f t="shared" si="1"/>
        <v>0</v>
      </c>
      <c r="L45" s="132"/>
      <c r="M45" s="131">
        <f t="shared" si="11"/>
        <v>0.25</v>
      </c>
      <c r="N45" s="131">
        <f t="shared" si="2"/>
        <v>-0.25</v>
      </c>
      <c r="O45" s="132">
        <f t="shared" si="25"/>
        <v>0</v>
      </c>
      <c r="P45" s="132">
        <f t="shared" si="10"/>
        <v>0</v>
      </c>
      <c r="Q45" s="129">
        <v>0</v>
      </c>
      <c r="R45" s="131">
        <f t="shared" si="4"/>
        <v>0</v>
      </c>
      <c r="S45" s="132"/>
      <c r="U45" s="82">
        <f>F47-F43</f>
        <v>984680.10699999996</v>
      </c>
      <c r="V45" s="82">
        <f>Q47-Q43</f>
        <v>818938.37799999991</v>
      </c>
      <c r="W45" s="83">
        <f>U45/V45</f>
        <v>1.2023860811173268</v>
      </c>
    </row>
    <row r="46" spans="1:26" s="84" customFormat="1" ht="23.25" x14ac:dyDescent="0.25">
      <c r="A46" s="80">
        <f t="shared" si="24"/>
        <v>23</v>
      </c>
      <c r="B46" s="89" t="s">
        <v>91</v>
      </c>
      <c r="C46" s="81" t="s">
        <v>90</v>
      </c>
      <c r="D46" s="128">
        <v>1</v>
      </c>
      <c r="E46" s="128">
        <v>4.4000000000000004</v>
      </c>
      <c r="F46" s="129">
        <f t="shared" si="9"/>
        <v>0</v>
      </c>
      <c r="G46" s="128">
        <v>0</v>
      </c>
      <c r="H46" s="128">
        <v>0</v>
      </c>
      <c r="I46" s="128">
        <v>0</v>
      </c>
      <c r="J46" s="130">
        <v>0</v>
      </c>
      <c r="K46" s="131">
        <f t="shared" si="1"/>
        <v>0</v>
      </c>
      <c r="L46" s="132"/>
      <c r="M46" s="131">
        <f t="shared" si="11"/>
        <v>0.25</v>
      </c>
      <c r="N46" s="131">
        <f t="shared" si="2"/>
        <v>-0.25</v>
      </c>
      <c r="O46" s="132">
        <f t="shared" si="25"/>
        <v>0</v>
      </c>
      <c r="P46" s="132">
        <f t="shared" si="10"/>
        <v>0</v>
      </c>
      <c r="Q46" s="129">
        <v>0</v>
      </c>
      <c r="R46" s="131">
        <f t="shared" si="4"/>
        <v>0</v>
      </c>
      <c r="S46" s="132"/>
    </row>
    <row r="47" spans="1:26" s="95" customFormat="1" ht="40.5" customHeight="1" x14ac:dyDescent="0.3">
      <c r="A47" s="90"/>
      <c r="B47" s="91" t="s">
        <v>9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</f>
        <v>3751621.3889999995</v>
      </c>
      <c r="F47" s="92">
        <f>SUM(G47:I47)</f>
        <v>985077.95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</f>
        <v>961901.86300000001</v>
      </c>
      <c r="K47" s="93">
        <f t="shared" si="1"/>
        <v>23176.086999999941</v>
      </c>
      <c r="L47" s="94">
        <f>F47/J47*100</f>
        <v>102.40940244441548</v>
      </c>
      <c r="M47" s="92">
        <f>M7+M9+M10+M15+M20+M26+M27+M28+M29+M30+M31+M32+M34+M39+M40+M41+M42+M43+M44+M46+M45+M33</f>
        <v>1097364.9962499999</v>
      </c>
      <c r="N47" s="93">
        <f t="shared" si="2"/>
        <v>-112287.0462499999</v>
      </c>
      <c r="O47" s="94">
        <f t="shared" si="25"/>
        <v>89.767575361550996</v>
      </c>
      <c r="P47" s="94">
        <f t="shared" si="10"/>
        <v>22.441893840387749</v>
      </c>
      <c r="Q47" s="92">
        <f>Q7+Q9+Q10+Q15+Q20+Q26+Q27+Q28+Q29+Q30+Q31+Q32+Q34+Q39+Q40+Q41+Q42+Q43+Q44+Q46+Q45+Q33</f>
        <v>819400.47599999991</v>
      </c>
      <c r="R47" s="93">
        <f t="shared" si="4"/>
        <v>165677.47400000005</v>
      </c>
      <c r="S47" s="94">
        <f>F47/Q47*100</f>
        <v>120.21935291138396</v>
      </c>
      <c r="T47" s="96">
        <v>819400.47599999991</v>
      </c>
      <c r="U47" s="96">
        <f>T47-Q47</f>
        <v>0</v>
      </c>
      <c r="X47" s="96" t="e">
        <f>#REF!-#REF!-#REF!</f>
        <v>#REF!</v>
      </c>
      <c r="Z47" s="95">
        <v>294547.38299999997</v>
      </c>
    </row>
    <row r="48" spans="1:26" s="95" customFormat="1" ht="54" customHeight="1" x14ac:dyDescent="0.3">
      <c r="A48" s="90"/>
      <c r="B48" s="91" t="s">
        <v>185</v>
      </c>
      <c r="C48" s="92"/>
      <c r="D48" s="92">
        <f>D47</f>
        <v>4389459.9849999994</v>
      </c>
      <c r="E48" s="92"/>
      <c r="F48" s="92">
        <f t="shared" ref="F48:P48" si="26">F47</f>
        <v>985077.95</v>
      </c>
      <c r="G48" s="92">
        <f t="shared" si="26"/>
        <v>303539.72700000007</v>
      </c>
      <c r="H48" s="92">
        <f t="shared" si="26"/>
        <v>382603.97200000001</v>
      </c>
      <c r="I48" s="92">
        <f t="shared" si="26"/>
        <v>298934.25099999999</v>
      </c>
      <c r="J48" s="92">
        <f t="shared" si="26"/>
        <v>961901.86300000001</v>
      </c>
      <c r="K48" s="93">
        <f t="shared" si="26"/>
        <v>23176.086999999941</v>
      </c>
      <c r="L48" s="94">
        <f t="shared" si="26"/>
        <v>102.40940244441548</v>
      </c>
      <c r="M48" s="92">
        <f t="shared" si="26"/>
        <v>1097364.9962499999</v>
      </c>
      <c r="N48" s="93">
        <f t="shared" si="26"/>
        <v>-112287.0462499999</v>
      </c>
      <c r="O48" s="94">
        <f t="shared" si="26"/>
        <v>89.767575361550996</v>
      </c>
      <c r="P48" s="94">
        <f t="shared" si="26"/>
        <v>22.441893840387749</v>
      </c>
      <c r="Q48" s="92">
        <f>Q47-Q7+Q8</f>
        <v>853721.69033333322</v>
      </c>
      <c r="R48" s="93">
        <f t="shared" si="4"/>
        <v>131356.25966666674</v>
      </c>
      <c r="S48" s="94">
        <f>F48/Q48*100</f>
        <v>115.38630928017994</v>
      </c>
      <c r="T48" s="96"/>
      <c r="U48" s="96"/>
      <c r="X48" s="96"/>
    </row>
    <row r="49" spans="2:44" ht="18.75" x14ac:dyDescent="0.3">
      <c r="B49" s="4"/>
      <c r="C49" s="3"/>
      <c r="D49" s="3"/>
      <c r="E49" s="3"/>
    </row>
    <row r="50" spans="2:44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3"/>
      <c r="K50" s="1"/>
      <c r="L50" s="1"/>
      <c r="M50" s="1"/>
      <c r="N50" s="1"/>
      <c r="O50" s="1"/>
      <c r="P50" s="1"/>
      <c r="Q50" s="33"/>
      <c r="R50" s="1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2:44" s="20" customFormat="1" ht="18.75" x14ac:dyDescent="0.3">
      <c r="B51" s="4"/>
      <c r="C51" s="3"/>
      <c r="D51" s="3"/>
      <c r="E51" s="123"/>
      <c r="F51" s="156"/>
      <c r="G51" s="3"/>
      <c r="H51" s="3"/>
      <c r="I51" s="3"/>
      <c r="J51" s="3"/>
      <c r="K51" s="1"/>
      <c r="L51" s="1"/>
      <c r="M51" s="1"/>
      <c r="N51" s="1"/>
      <c r="O51" s="1"/>
      <c r="P51" s="1"/>
      <c r="Q51" s="156"/>
      <c r="R51" s="1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2:44" s="20" customFormat="1" ht="18.75" x14ac:dyDescent="0.3">
      <c r="B52" s="4"/>
      <c r="C52" s="3"/>
      <c r="D52" s="157"/>
      <c r="E52" s="3"/>
      <c r="F52" s="33"/>
      <c r="G52" s="3"/>
      <c r="H52" s="3"/>
      <c r="I52" s="3"/>
      <c r="J52" s="3"/>
      <c r="K52" s="1"/>
      <c r="L52" s="1"/>
      <c r="M52" s="1"/>
      <c r="N52" s="1"/>
      <c r="O52" s="1"/>
      <c r="P52" s="1"/>
      <c r="Q52" s="33"/>
      <c r="R52" s="1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2:44" s="20" customFormat="1" ht="18.75" x14ac:dyDescent="0.3">
      <c r="B53" s="4"/>
      <c r="C53" s="3"/>
      <c r="D53" s="3"/>
      <c r="E53" s="3"/>
      <c r="F53" s="33"/>
      <c r="G53" s="3"/>
      <c r="H53" s="3"/>
      <c r="I53" s="3"/>
      <c r="J53" s="3"/>
      <c r="K53" s="1"/>
      <c r="L53" s="1"/>
      <c r="M53" s="1"/>
      <c r="N53" s="1"/>
      <c r="O53" s="1"/>
      <c r="P53" s="1"/>
      <c r="Q53" s="33"/>
      <c r="R53" s="1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2:44" s="20" customFormat="1" ht="22.5" x14ac:dyDescent="0.3">
      <c r="B54" s="4"/>
      <c r="C54" s="3"/>
      <c r="D54" s="154"/>
      <c r="E54" s="3"/>
      <c r="F54" s="33"/>
      <c r="G54" s="3"/>
      <c r="H54" s="3"/>
      <c r="I54" s="3"/>
      <c r="J54" s="3"/>
      <c r="K54" s="1"/>
      <c r="L54" s="1"/>
      <c r="M54" s="1"/>
      <c r="N54" s="1"/>
      <c r="O54" s="1"/>
      <c r="P54" s="1"/>
      <c r="Q54" s="33"/>
      <c r="R54" s="1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2:44" s="20" customFormat="1" ht="18.75" x14ac:dyDescent="0.3">
      <c r="B55" s="4"/>
      <c r="C55" s="3"/>
      <c r="D55" s="3"/>
      <c r="E55" s="3"/>
      <c r="F55" s="156"/>
      <c r="G55" s="3"/>
      <c r="H55" s="3"/>
      <c r="I55" s="3"/>
      <c r="J55" s="3"/>
      <c r="K55" s="1"/>
      <c r="L55" s="1"/>
      <c r="M55" s="1"/>
      <c r="N55" s="1"/>
      <c r="O55" s="1"/>
      <c r="P55" s="1"/>
      <c r="Q55" s="156"/>
      <c r="R55" s="1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2:44" s="20" customFormat="1" ht="18.75" x14ac:dyDescent="0.3">
      <c r="B56" s="4"/>
      <c r="C56" s="3"/>
      <c r="D56" s="3"/>
      <c r="E56" s="3"/>
      <c r="F56" s="33"/>
      <c r="G56" s="3"/>
      <c r="H56" s="3"/>
      <c r="I56" s="3"/>
      <c r="J56" s="3"/>
      <c r="K56" s="1"/>
      <c r="L56" s="1"/>
      <c r="M56" s="1"/>
      <c r="N56" s="1"/>
      <c r="O56" s="1"/>
      <c r="P56" s="1"/>
      <c r="Q56" s="33"/>
      <c r="R56" s="1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2:44" s="20" customFormat="1" ht="18.75" x14ac:dyDescent="0.3">
      <c r="B57" s="4"/>
      <c r="C57" s="3"/>
      <c r="D57" s="3"/>
      <c r="E57" s="3"/>
      <c r="F57" s="33"/>
      <c r="G57" s="3"/>
      <c r="H57" s="3"/>
      <c r="I57" s="3"/>
      <c r="J57" s="3"/>
      <c r="K57" s="1"/>
      <c r="L57" s="1"/>
      <c r="M57" s="1"/>
      <c r="N57" s="1"/>
      <c r="O57" s="1"/>
      <c r="P57" s="1"/>
      <c r="Q57" s="33"/>
      <c r="R57" s="1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2:44" s="20" customFormat="1" ht="18.75" x14ac:dyDescent="0.3">
      <c r="B58" s="29"/>
      <c r="F58" s="33"/>
      <c r="G58" s="3"/>
      <c r="H58" s="3"/>
      <c r="I58" s="3"/>
      <c r="J58" s="3"/>
      <c r="K58" s="1"/>
      <c r="L58" s="1"/>
      <c r="M58" s="1"/>
      <c r="N58" s="1"/>
      <c r="O58" s="1"/>
      <c r="P58" s="1"/>
      <c r="Q58" s="33"/>
      <c r="R58" s="1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2:44" s="20" customFormat="1" ht="18.75" x14ac:dyDescent="0.3">
      <c r="B59" s="29"/>
      <c r="F59" s="33"/>
      <c r="G59" s="3"/>
      <c r="H59" s="3"/>
      <c r="I59" s="3"/>
      <c r="J59" s="3"/>
      <c r="K59" s="1"/>
      <c r="L59" s="1"/>
      <c r="M59" s="1"/>
      <c r="N59" s="1"/>
      <c r="O59" s="1"/>
      <c r="P59" s="1"/>
      <c r="Q59" s="33"/>
      <c r="R59" s="1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</sheetData>
  <mergeCells count="23">
    <mergeCell ref="A1:S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C21:C23"/>
    <mergeCell ref="J3:J4"/>
    <mergeCell ref="K3:K4"/>
    <mergeCell ref="L3:L4"/>
    <mergeCell ref="M3:M4"/>
    <mergeCell ref="A7:A8"/>
    <mergeCell ref="P3:P4"/>
    <mergeCell ref="Q3:Q4"/>
    <mergeCell ref="R3:R4"/>
    <mergeCell ref="S3:S4"/>
    <mergeCell ref="A6:S6"/>
    <mergeCell ref="N3:N4"/>
    <mergeCell ref="O3:O4"/>
  </mergeCells>
  <printOptions horizontalCentered="1"/>
  <pageMargins left="0.39370078740157483" right="0" top="0" bottom="0" header="0.23622047244094491" footer="0.11811023622047245"/>
  <pageSetup paperSize="8" scale="49" fitToHeight="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41"/>
  <sheetViews>
    <sheetView showGridLines="0" view="pageBreakPreview" zoomScale="60" zoomScaleNormal="75" workbookViewId="0">
      <pane xSplit="3" ySplit="6" topLeftCell="D34" activePane="bottomRight" state="frozen"/>
      <selection activeCell="P126" sqref="P126"/>
      <selection pane="topRight" activeCell="P126" sqref="P126"/>
      <selection pane="bottomLeft" activeCell="P126" sqref="P126"/>
      <selection pane="bottomRight" activeCell="P126" sqref="P126"/>
    </sheetView>
  </sheetViews>
  <sheetFormatPr defaultRowHeight="12.75" x14ac:dyDescent="0.2"/>
  <cols>
    <col min="1" max="1" width="12.28515625" style="20" customWidth="1"/>
    <col min="2" max="2" width="136.1406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10" width="21.28515625" style="3" hidden="1" customWidth="1"/>
    <col min="11" max="11" width="24" style="3" customWidth="1"/>
    <col min="12" max="12" width="22.5703125" style="1" customWidth="1"/>
    <col min="13" max="13" width="14.140625" style="1" bestFit="1" customWidth="1"/>
    <col min="14" max="14" width="23.85546875" style="1" customWidth="1"/>
    <col min="15" max="15" width="25.7109375" style="1" customWidth="1"/>
    <col min="16" max="16" width="14.7109375" style="1" bestFit="1" customWidth="1"/>
    <col min="17" max="17" width="16.140625" style="1" customWidth="1"/>
    <col min="18" max="18" width="23.140625" style="33" customWidth="1"/>
    <col min="19" max="19" width="21.85546875" style="1" customWidth="1"/>
    <col min="20" max="20" width="14.7109375" style="3" bestFit="1" customWidth="1"/>
    <col min="21" max="21" width="24.140625" style="3" bestFit="1" customWidth="1"/>
    <col min="22" max="22" width="19.140625" style="3" bestFit="1" customWidth="1"/>
    <col min="23" max="23" width="19.85546875" style="3" customWidth="1"/>
    <col min="24" max="24" width="9.140625" style="3"/>
    <col min="25" max="25" width="24.140625" style="3" bestFit="1" customWidth="1"/>
    <col min="26" max="26" width="9.140625" style="3"/>
    <col min="27" max="27" width="15.140625" style="3" bestFit="1" customWidth="1"/>
    <col min="28" max="16384" width="9.140625" style="3"/>
  </cols>
  <sheetData>
    <row r="1" spans="1:35" ht="30" customHeight="1" x14ac:dyDescent="0.2">
      <c r="A1" s="231" t="s">
        <v>237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35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R2" s="107"/>
      <c r="S2" s="5" t="s">
        <v>14</v>
      </c>
      <c r="T2" s="5"/>
    </row>
    <row r="3" spans="1:35" s="73" customFormat="1" ht="15" customHeight="1" x14ac:dyDescent="0.25">
      <c r="A3" s="232" t="s">
        <v>0</v>
      </c>
      <c r="B3" s="233" t="s">
        <v>1</v>
      </c>
      <c r="C3" s="233" t="s">
        <v>2</v>
      </c>
      <c r="D3" s="229" t="s">
        <v>167</v>
      </c>
      <c r="E3" s="229" t="s">
        <v>146</v>
      </c>
      <c r="F3" s="230" t="s">
        <v>228</v>
      </c>
      <c r="G3" s="229" t="s">
        <v>65</v>
      </c>
      <c r="H3" s="229" t="s">
        <v>187</v>
      </c>
      <c r="I3" s="229" t="s">
        <v>214</v>
      </c>
      <c r="J3" s="229" t="s">
        <v>229</v>
      </c>
      <c r="K3" s="229" t="s">
        <v>230</v>
      </c>
      <c r="L3" s="229" t="s">
        <v>231</v>
      </c>
      <c r="M3" s="229" t="s">
        <v>3</v>
      </c>
      <c r="N3" s="229" t="s">
        <v>232</v>
      </c>
      <c r="O3" s="229" t="s">
        <v>233</v>
      </c>
      <c r="P3" s="229" t="s">
        <v>3</v>
      </c>
      <c r="Q3" s="222" t="s">
        <v>236</v>
      </c>
      <c r="R3" s="230" t="s">
        <v>234</v>
      </c>
      <c r="S3" s="229" t="s">
        <v>235</v>
      </c>
      <c r="T3" s="229" t="s">
        <v>3</v>
      </c>
    </row>
    <row r="4" spans="1:35" s="73" customFormat="1" ht="79.5" customHeight="1" x14ac:dyDescent="0.25">
      <c r="A4" s="232"/>
      <c r="B4" s="233"/>
      <c r="C4" s="233"/>
      <c r="D4" s="229"/>
      <c r="E4" s="229"/>
      <c r="F4" s="230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2"/>
      <c r="R4" s="230"/>
      <c r="S4" s="229"/>
      <c r="T4" s="229"/>
    </row>
    <row r="5" spans="1:35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T5" si="0">D5+1</f>
        <v>5</v>
      </c>
      <c r="F5" s="76">
        <v>5</v>
      </c>
      <c r="G5" s="75">
        <f t="shared" si="0"/>
        <v>6</v>
      </c>
      <c r="H5" s="75">
        <f t="shared" si="0"/>
        <v>7</v>
      </c>
      <c r="I5" s="75">
        <f t="shared" si="0"/>
        <v>8</v>
      </c>
      <c r="J5" s="75">
        <f t="shared" si="0"/>
        <v>9</v>
      </c>
      <c r="K5" s="75">
        <v>6</v>
      </c>
      <c r="L5" s="75">
        <f t="shared" si="0"/>
        <v>7</v>
      </c>
      <c r="M5" s="75">
        <f t="shared" si="0"/>
        <v>8</v>
      </c>
      <c r="N5" s="75">
        <f t="shared" si="0"/>
        <v>9</v>
      </c>
      <c r="O5" s="75">
        <f t="shared" si="0"/>
        <v>10</v>
      </c>
      <c r="P5" s="75">
        <f t="shared" si="0"/>
        <v>11</v>
      </c>
      <c r="Q5" s="75">
        <f t="shared" si="0"/>
        <v>12</v>
      </c>
      <c r="R5" s="76">
        <f t="shared" si="0"/>
        <v>13</v>
      </c>
      <c r="S5" s="75">
        <f t="shared" si="0"/>
        <v>14</v>
      </c>
      <c r="T5" s="75">
        <f t="shared" si="0"/>
        <v>15</v>
      </c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</row>
    <row r="6" spans="1:35" s="79" customFormat="1" ht="26.25" customHeight="1" x14ac:dyDescent="0.2">
      <c r="A6" s="235" t="s">
        <v>6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</row>
    <row r="7" spans="1:35" s="84" customFormat="1" ht="27.75" customHeight="1" x14ac:dyDescent="0.25">
      <c r="A7" s="246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>SUM(G7:J7)</f>
        <v>863190.53499999992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30">
        <v>845462.85699999996</v>
      </c>
      <c r="L7" s="131">
        <f t="shared" ref="L7:L58" si="1">F7-K7</f>
        <v>17727.677999999956</v>
      </c>
      <c r="M7" s="132">
        <f>F7/K7*100</f>
        <v>102.09680151566964</v>
      </c>
      <c r="N7" s="131">
        <f>D7/12*4</f>
        <v>953131.15333333332</v>
      </c>
      <c r="O7" s="131">
        <f t="shared" ref="O7:O58" si="2">F7-N7</f>
        <v>-89940.618333333405</v>
      </c>
      <c r="P7" s="132">
        <f t="shared" ref="P7:P40" si="3">F7/N7*100</f>
        <v>90.563668177376329</v>
      </c>
      <c r="Q7" s="132">
        <f>F7/D7*100</f>
        <v>30.187889392458771</v>
      </c>
      <c r="R7" s="129">
        <v>711722.25300000003</v>
      </c>
      <c r="S7" s="131">
        <f t="shared" ref="S7:S58" si="4">F7-R7</f>
        <v>151468.28199999989</v>
      </c>
      <c r="T7" s="132">
        <f>F7/R7*100</f>
        <v>121.28193707047122</v>
      </c>
      <c r="U7" s="82"/>
      <c r="V7" s="82"/>
      <c r="W7" s="82">
        <f>U7-V7</f>
        <v>0</v>
      </c>
      <c r="X7" s="83" t="e">
        <f>U7/V7*100</f>
        <v>#DIV/0!</v>
      </c>
    </row>
    <row r="8" spans="1:35" s="84" customFormat="1" ht="27.75" customHeight="1" x14ac:dyDescent="0.25">
      <c r="A8" s="247"/>
      <c r="B8" s="89" t="s">
        <v>206</v>
      </c>
      <c r="C8" s="81" t="s">
        <v>15</v>
      </c>
      <c r="D8" s="128">
        <f>D7</f>
        <v>2859393.46</v>
      </c>
      <c r="E8" s="128"/>
      <c r="F8" s="129">
        <f>F7</f>
        <v>863190.53499999992</v>
      </c>
      <c r="G8" s="128"/>
      <c r="H8" s="128"/>
      <c r="I8" s="128"/>
      <c r="J8" s="128"/>
      <c r="K8" s="130">
        <f t="shared" ref="K8:Q8" si="5">K7</f>
        <v>845462.85699999996</v>
      </c>
      <c r="L8" s="131">
        <f t="shared" si="5"/>
        <v>17727.677999999956</v>
      </c>
      <c r="M8" s="132">
        <f t="shared" si="5"/>
        <v>102.09680151566964</v>
      </c>
      <c r="N8" s="131">
        <f t="shared" si="5"/>
        <v>953131.15333333332</v>
      </c>
      <c r="O8" s="131">
        <f t="shared" si="5"/>
        <v>-89940.618333333405</v>
      </c>
      <c r="P8" s="132">
        <f t="shared" si="5"/>
        <v>90.563668177376329</v>
      </c>
      <c r="Q8" s="132">
        <f t="shared" si="5"/>
        <v>30.187889392458771</v>
      </c>
      <c r="R8" s="129">
        <f>R7/0.6*64%</f>
        <v>759170.40320000006</v>
      </c>
      <c r="S8" s="131">
        <f t="shared" ref="S8" si="6">F8-R8</f>
        <v>104020.13179999986</v>
      </c>
      <c r="T8" s="132">
        <f>F8/R8*100</f>
        <v>113.70181600356675</v>
      </c>
      <c r="U8" s="82"/>
      <c r="V8" s="82"/>
      <c r="W8" s="82"/>
      <c r="X8" s="83"/>
    </row>
    <row r="9" spans="1:35" s="84" customFormat="1" ht="23.25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ref="F9:F66" si="7">SUM(G9:J9)</f>
        <v>299.91699999999997</v>
      </c>
      <c r="G9" s="128">
        <v>2.6560000000000001</v>
      </c>
      <c r="H9" s="128">
        <v>179.74199999999999</v>
      </c>
      <c r="I9" s="128">
        <v>86.79</v>
      </c>
      <c r="J9" s="128">
        <v>30.728999999999999</v>
      </c>
      <c r="K9" s="130">
        <v>299.7</v>
      </c>
      <c r="L9" s="131">
        <f t="shared" si="1"/>
        <v>0.21699999999998454</v>
      </c>
      <c r="M9" s="132">
        <f>F9/K9*100</f>
        <v>100.07240573907239</v>
      </c>
      <c r="N9" s="131">
        <f>D9/12*4</f>
        <v>336.66666666666669</v>
      </c>
      <c r="O9" s="131">
        <f t="shared" si="2"/>
        <v>-36.749666666666712</v>
      </c>
      <c r="P9" s="132">
        <f t="shared" si="3"/>
        <v>89.084257425742564</v>
      </c>
      <c r="Q9" s="132">
        <f t="shared" ref="Q9:Q74" si="8">F9/D9*100</f>
        <v>29.694752475247522</v>
      </c>
      <c r="R9" s="129">
        <v>605.81200000000001</v>
      </c>
      <c r="S9" s="131">
        <f t="shared" si="4"/>
        <v>-305.89500000000004</v>
      </c>
      <c r="T9" s="132">
        <f>F9/R9*100</f>
        <v>49.50661261249364</v>
      </c>
      <c r="U9" s="82"/>
      <c r="V9" s="82"/>
      <c r="W9" s="82">
        <f>R7/0.5</f>
        <v>1423444.5060000001</v>
      </c>
      <c r="X9" s="83">
        <f>V9/W9*100</f>
        <v>0</v>
      </c>
    </row>
    <row r="10" spans="1:35" s="84" customFormat="1" ht="23.2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 t="shared" si="7"/>
        <v>161.40900000000002</v>
      </c>
      <c r="G10" s="128">
        <f>SUM(G11:G14)</f>
        <v>1.3639999999999999</v>
      </c>
      <c r="H10" s="128">
        <f>SUM(H11:H14)</f>
        <v>157.917</v>
      </c>
      <c r="I10" s="128">
        <f>SUM(I11:I14)</f>
        <v>0.187</v>
      </c>
      <c r="J10" s="128">
        <f>SUM(J11:J14)</f>
        <v>1.9410000000000001</v>
      </c>
      <c r="K10" s="128">
        <f>SUM(K11:K14)</f>
        <v>160.02000000000001</v>
      </c>
      <c r="L10" s="131">
        <f t="shared" si="1"/>
        <v>1.38900000000001</v>
      </c>
      <c r="M10" s="132">
        <f>F10/K10*100</f>
        <v>100.86801649793777</v>
      </c>
      <c r="N10" s="131">
        <f t="shared" ref="N10:N46" si="9">D10/12*4</f>
        <v>161.33333333333334</v>
      </c>
      <c r="O10" s="131">
        <f t="shared" si="2"/>
        <v>7.5666666666677429E-2</v>
      </c>
      <c r="P10" s="132">
        <f t="shared" si="3"/>
        <v>100.04690082644629</v>
      </c>
      <c r="Q10" s="132">
        <f t="shared" si="8"/>
        <v>33.348966942148763</v>
      </c>
      <c r="R10" s="129">
        <f>SUM(R11:R14)</f>
        <v>127.60100000000001</v>
      </c>
      <c r="S10" s="131">
        <f t="shared" si="4"/>
        <v>33.808000000000007</v>
      </c>
      <c r="T10" s="132">
        <f>F10/R10*100</f>
        <v>126.49509016387019</v>
      </c>
      <c r="U10" s="82"/>
      <c r="V10" s="82"/>
      <c r="W10" s="82"/>
      <c r="X10" s="83"/>
    </row>
    <row r="11" spans="1:35" s="84" customFormat="1" ht="39" x14ac:dyDescent="0.25">
      <c r="A11" s="85" t="s">
        <v>114</v>
      </c>
      <c r="B11" s="195" t="s">
        <v>173</v>
      </c>
      <c r="C11" s="200" t="s">
        <v>174</v>
      </c>
      <c r="D11" s="128">
        <v>23</v>
      </c>
      <c r="E11" s="128"/>
      <c r="F11" s="134">
        <f t="shared" si="7"/>
        <v>4.5510000000000002</v>
      </c>
      <c r="G11" s="128">
        <v>0</v>
      </c>
      <c r="H11" s="128">
        <v>4.5510000000000002</v>
      </c>
      <c r="I11" s="128">
        <v>0</v>
      </c>
      <c r="J11" s="128">
        <v>0</v>
      </c>
      <c r="K11" s="130">
        <v>4.5</v>
      </c>
      <c r="L11" s="131">
        <f t="shared" si="1"/>
        <v>5.1000000000000156E-2</v>
      </c>
      <c r="M11" s="137">
        <f t="shared" ref="M11:M12" si="10">F11/K11*100</f>
        <v>101.13333333333334</v>
      </c>
      <c r="N11" s="131">
        <f t="shared" si="9"/>
        <v>7.666666666666667</v>
      </c>
      <c r="O11" s="131">
        <f t="shared" si="2"/>
        <v>-3.1156666666666668</v>
      </c>
      <c r="P11" s="137">
        <f t="shared" si="3"/>
        <v>59.360869565217392</v>
      </c>
      <c r="Q11" s="132">
        <f t="shared" si="8"/>
        <v>19.786956521739132</v>
      </c>
      <c r="R11" s="129">
        <v>8.5120000000000005</v>
      </c>
      <c r="S11" s="131">
        <f t="shared" si="4"/>
        <v>-3.9610000000000003</v>
      </c>
      <c r="T11" s="132">
        <f t="shared" ref="T11:T12" si="11">F11/R11*100</f>
        <v>53.465695488721799</v>
      </c>
      <c r="U11" s="82"/>
      <c r="V11" s="82"/>
      <c r="W11" s="82"/>
      <c r="X11" s="83"/>
    </row>
    <row r="12" spans="1:35" s="88" customFormat="1" ht="45.75" customHeight="1" x14ac:dyDescent="0.25">
      <c r="A12" s="85" t="s">
        <v>115</v>
      </c>
      <c r="B12" s="195" t="s">
        <v>107</v>
      </c>
      <c r="C12" s="72" t="s">
        <v>108</v>
      </c>
      <c r="D12" s="133">
        <v>160</v>
      </c>
      <c r="E12" s="133">
        <v>166.79</v>
      </c>
      <c r="F12" s="134">
        <f t="shared" si="7"/>
        <v>69.736000000000004</v>
      </c>
      <c r="G12" s="133">
        <v>0</v>
      </c>
      <c r="H12" s="133">
        <v>69.736000000000004</v>
      </c>
      <c r="I12" s="133">
        <v>0</v>
      </c>
      <c r="J12" s="133">
        <v>0</v>
      </c>
      <c r="K12" s="135">
        <v>69.7</v>
      </c>
      <c r="L12" s="136">
        <f t="shared" si="1"/>
        <v>3.6000000000001364E-2</v>
      </c>
      <c r="M12" s="137">
        <f t="shared" si="10"/>
        <v>100.05164992826398</v>
      </c>
      <c r="N12" s="136">
        <f t="shared" si="9"/>
        <v>53.333333333333336</v>
      </c>
      <c r="O12" s="136">
        <f t="shared" si="2"/>
        <v>16.402666666666669</v>
      </c>
      <c r="P12" s="137">
        <f t="shared" si="3"/>
        <v>130.755</v>
      </c>
      <c r="Q12" s="137">
        <f t="shared" si="8"/>
        <v>43.585000000000001</v>
      </c>
      <c r="R12" s="134">
        <v>53.468000000000004</v>
      </c>
      <c r="S12" s="136">
        <f t="shared" si="4"/>
        <v>16.268000000000001</v>
      </c>
      <c r="T12" s="137">
        <f t="shared" si="11"/>
        <v>130.42567517019526</v>
      </c>
    </row>
    <row r="13" spans="1:35" s="88" customFormat="1" ht="39" x14ac:dyDescent="0.25">
      <c r="A13" s="85" t="s">
        <v>116</v>
      </c>
      <c r="B13" s="195" t="s">
        <v>149</v>
      </c>
      <c r="C13" s="72" t="s">
        <v>111</v>
      </c>
      <c r="D13" s="133">
        <v>86</v>
      </c>
      <c r="E13" s="133">
        <v>82.45</v>
      </c>
      <c r="F13" s="134">
        <f t="shared" si="7"/>
        <v>23.083000000000002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5">
        <v>21.82</v>
      </c>
      <c r="L13" s="136">
        <f t="shared" si="1"/>
        <v>1.2630000000000017</v>
      </c>
      <c r="M13" s="137">
        <f>F13/K13*100</f>
        <v>105.78826764436297</v>
      </c>
      <c r="N13" s="136">
        <f t="shared" si="9"/>
        <v>28.666666666666668</v>
      </c>
      <c r="O13" s="136">
        <f t="shared" si="2"/>
        <v>-5.5836666666666659</v>
      </c>
      <c r="P13" s="137">
        <f t="shared" si="3"/>
        <v>80.52209302325582</v>
      </c>
      <c r="Q13" s="137">
        <f t="shared" si="8"/>
        <v>26.840697674418607</v>
      </c>
      <c r="R13" s="134">
        <v>19.594000000000005</v>
      </c>
      <c r="S13" s="136">
        <f t="shared" si="4"/>
        <v>3.4889999999999972</v>
      </c>
      <c r="T13" s="137">
        <f>F13/R13*100</f>
        <v>117.80647136878635</v>
      </c>
    </row>
    <row r="14" spans="1:35" s="88" customFormat="1" ht="23.25" x14ac:dyDescent="0.25">
      <c r="A14" s="85" t="s">
        <v>175</v>
      </c>
      <c r="B14" s="195" t="s">
        <v>148</v>
      </c>
      <c r="C14" s="72" t="s">
        <v>147</v>
      </c>
      <c r="D14" s="133">
        <v>215</v>
      </c>
      <c r="E14" s="133">
        <v>257.64</v>
      </c>
      <c r="F14" s="134">
        <f t="shared" si="7"/>
        <v>64.039000000000001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5">
        <v>64</v>
      </c>
      <c r="L14" s="136">
        <f t="shared" si="1"/>
        <v>3.9000000000001478E-2</v>
      </c>
      <c r="M14" s="137">
        <f>F14/K14*100</f>
        <v>100.06093750000001</v>
      </c>
      <c r="N14" s="136">
        <f t="shared" si="9"/>
        <v>71.666666666666671</v>
      </c>
      <c r="O14" s="136">
        <f t="shared" si="2"/>
        <v>-7.6276666666666699</v>
      </c>
      <c r="P14" s="137">
        <f t="shared" si="3"/>
        <v>89.356744186046512</v>
      </c>
      <c r="Q14" s="137">
        <f t="shared" si="8"/>
        <v>29.785581395348835</v>
      </c>
      <c r="R14" s="134">
        <v>46.027000000000001</v>
      </c>
      <c r="S14" s="136">
        <f t="shared" si="4"/>
        <v>18.012</v>
      </c>
      <c r="T14" s="137">
        <f>F14/R14*100</f>
        <v>139.13355204553847</v>
      </c>
    </row>
    <row r="15" spans="1:35" s="84" customFormat="1" ht="23.25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7"/>
        <v>53326.828999999998</v>
      </c>
      <c r="G15" s="128">
        <f t="shared" ref="G15:K15" si="12">SUM(G16:G18)</f>
        <v>13827.143</v>
      </c>
      <c r="H15" s="128">
        <f t="shared" si="12"/>
        <v>7447.0510000000004</v>
      </c>
      <c r="I15" s="128">
        <f t="shared" si="12"/>
        <v>25460.975999999999</v>
      </c>
      <c r="J15" s="128">
        <f t="shared" si="12"/>
        <v>6591.6589999999997</v>
      </c>
      <c r="K15" s="130">
        <f t="shared" si="12"/>
        <v>50000</v>
      </c>
      <c r="L15" s="131">
        <f t="shared" si="1"/>
        <v>3326.8289999999979</v>
      </c>
      <c r="M15" s="132">
        <f>F15/K15*100</f>
        <v>106.65365799999999</v>
      </c>
      <c r="N15" s="131">
        <f t="shared" si="9"/>
        <v>94333.333333333328</v>
      </c>
      <c r="O15" s="131">
        <f t="shared" si="2"/>
        <v>-41006.504333333331</v>
      </c>
      <c r="P15" s="132">
        <f t="shared" si="3"/>
        <v>56.530207420494705</v>
      </c>
      <c r="Q15" s="132">
        <f t="shared" si="8"/>
        <v>18.843402473498234</v>
      </c>
      <c r="R15" s="129">
        <f t="shared" ref="R15" si="13">SUM(R16:R18)</f>
        <v>70937.895000000004</v>
      </c>
      <c r="S15" s="131">
        <f t="shared" si="4"/>
        <v>-17611.066000000006</v>
      </c>
      <c r="T15" s="132">
        <f>F15/R15*100</f>
        <v>75.173965903555498</v>
      </c>
    </row>
    <row r="16" spans="1:35" s="88" customFormat="1" ht="23.25" x14ac:dyDescent="0.25">
      <c r="A16" s="85" t="s">
        <v>129</v>
      </c>
      <c r="B16" s="195" t="s">
        <v>101</v>
      </c>
      <c r="C16" s="72" t="s">
        <v>93</v>
      </c>
      <c r="D16" s="133">
        <v>32000</v>
      </c>
      <c r="E16" s="133">
        <v>25500</v>
      </c>
      <c r="F16" s="134">
        <f t="shared" si="7"/>
        <v>4224.6480000000001</v>
      </c>
      <c r="G16" s="133">
        <v>0</v>
      </c>
      <c r="H16" s="133">
        <v>0</v>
      </c>
      <c r="I16" s="133">
        <v>4216.5990000000002</v>
      </c>
      <c r="J16" s="133">
        <v>8.0489999999999995</v>
      </c>
      <c r="K16" s="135">
        <v>4200</v>
      </c>
      <c r="L16" s="136">
        <f t="shared" si="1"/>
        <v>24.648000000000138</v>
      </c>
      <c r="M16" s="137">
        <f t="shared" ref="M16:M27" si="14">F16/K16*100</f>
        <v>100.58685714285716</v>
      </c>
      <c r="N16" s="136">
        <f t="shared" si="9"/>
        <v>10666.666666666666</v>
      </c>
      <c r="O16" s="136">
        <f t="shared" si="2"/>
        <v>-6442.0186666666659</v>
      </c>
      <c r="P16" s="137">
        <f t="shared" si="3"/>
        <v>39.606075000000004</v>
      </c>
      <c r="Q16" s="137">
        <f t="shared" si="8"/>
        <v>13.202025000000001</v>
      </c>
      <c r="R16" s="134">
        <v>8357.1659999999993</v>
      </c>
      <c r="S16" s="136">
        <f t="shared" si="4"/>
        <v>-4132.5179999999991</v>
      </c>
      <c r="T16" s="137">
        <f t="shared" ref="T16:T25" si="15">F16/R16*100</f>
        <v>50.551203601795159</v>
      </c>
      <c r="U16" s="129">
        <f>R16+R17</f>
        <v>37434.237000000001</v>
      </c>
      <c r="V16" s="129">
        <f>F16+F17</f>
        <v>18462.602000000003</v>
      </c>
      <c r="W16" s="129">
        <f>V16-U16</f>
        <v>-18971.634999999998</v>
      </c>
      <c r="X16" s="88">
        <v>-18971.634999999998</v>
      </c>
    </row>
    <row r="17" spans="1:23" s="88" customFormat="1" ht="23.25" x14ac:dyDescent="0.25">
      <c r="A17" s="85" t="s">
        <v>130</v>
      </c>
      <c r="B17" s="195" t="s">
        <v>102</v>
      </c>
      <c r="C17" s="72" t="s">
        <v>94</v>
      </c>
      <c r="D17" s="133">
        <v>106000</v>
      </c>
      <c r="E17" s="133">
        <v>87500</v>
      </c>
      <c r="F17" s="134">
        <f t="shared" si="7"/>
        <v>14237.954000000002</v>
      </c>
      <c r="G17" s="133">
        <v>0</v>
      </c>
      <c r="H17" s="133">
        <v>0</v>
      </c>
      <c r="I17" s="133">
        <v>14207.164000000001</v>
      </c>
      <c r="J17" s="133">
        <v>30.79</v>
      </c>
      <c r="K17" s="135">
        <v>14200</v>
      </c>
      <c r="L17" s="136">
        <f t="shared" si="1"/>
        <v>37.954000000001543</v>
      </c>
      <c r="M17" s="137">
        <f t="shared" si="14"/>
        <v>100.26728169014085</v>
      </c>
      <c r="N17" s="136">
        <f t="shared" si="9"/>
        <v>35333.333333333336</v>
      </c>
      <c r="O17" s="136">
        <f t="shared" si="2"/>
        <v>-21095.379333333334</v>
      </c>
      <c r="P17" s="137">
        <f t="shared" si="3"/>
        <v>40.296096226415095</v>
      </c>
      <c r="Q17" s="137">
        <f t="shared" si="8"/>
        <v>13.4320320754717</v>
      </c>
      <c r="R17" s="134">
        <v>29077.071</v>
      </c>
      <c r="S17" s="136">
        <f t="shared" si="4"/>
        <v>-14839.116999999998</v>
      </c>
      <c r="T17" s="137">
        <f t="shared" si="15"/>
        <v>48.966259359479508</v>
      </c>
    </row>
    <row r="18" spans="1:23" s="88" customFormat="1" ht="29.25" customHeight="1" x14ac:dyDescent="0.25">
      <c r="A18" s="85" t="s">
        <v>131</v>
      </c>
      <c r="B18" s="195" t="s">
        <v>103</v>
      </c>
      <c r="C18" s="72" t="s">
        <v>58</v>
      </c>
      <c r="D18" s="133">
        <v>145000</v>
      </c>
      <c r="E18" s="133">
        <v>134766</v>
      </c>
      <c r="F18" s="134">
        <f t="shared" si="7"/>
        <v>34864.226999999999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5">
        <v>31600</v>
      </c>
      <c r="L18" s="136">
        <f t="shared" si="1"/>
        <v>3264.226999999999</v>
      </c>
      <c r="M18" s="137">
        <f t="shared" si="14"/>
        <v>110.32983227848101</v>
      </c>
      <c r="N18" s="136">
        <f t="shared" si="9"/>
        <v>48333.333333333336</v>
      </c>
      <c r="O18" s="136">
        <f t="shared" si="2"/>
        <v>-13469.106333333337</v>
      </c>
      <c r="P18" s="137">
        <f t="shared" si="3"/>
        <v>72.132883448275848</v>
      </c>
      <c r="Q18" s="137">
        <f t="shared" si="8"/>
        <v>24.04429448275862</v>
      </c>
      <c r="R18" s="134">
        <v>33503.658000000003</v>
      </c>
      <c r="S18" s="136">
        <f t="shared" si="4"/>
        <v>1360.5689999999959</v>
      </c>
      <c r="T18" s="137">
        <f t="shared" si="15"/>
        <v>104.06095656778731</v>
      </c>
    </row>
    <row r="19" spans="1:23" s="115" customFormat="1" ht="23.25" x14ac:dyDescent="0.25">
      <c r="A19" s="80">
        <v>5</v>
      </c>
      <c r="B19" s="89" t="s">
        <v>196</v>
      </c>
      <c r="C19" s="81" t="s">
        <v>197</v>
      </c>
      <c r="D19" s="128">
        <v>0</v>
      </c>
      <c r="E19" s="128"/>
      <c r="F19" s="129">
        <f t="shared" si="7"/>
        <v>6.7789999999999999</v>
      </c>
      <c r="G19" s="128">
        <v>0</v>
      </c>
      <c r="H19" s="128">
        <v>4.5270000000000001</v>
      </c>
      <c r="I19" s="128">
        <v>2.2519999999999998</v>
      </c>
      <c r="J19" s="128">
        <v>0</v>
      </c>
      <c r="K19" s="130">
        <v>0</v>
      </c>
      <c r="L19" s="131">
        <f t="shared" si="1"/>
        <v>6.7789999999999999</v>
      </c>
      <c r="M19" s="132"/>
      <c r="N19" s="131">
        <f t="shared" si="9"/>
        <v>0</v>
      </c>
      <c r="O19" s="131">
        <f t="shared" si="2"/>
        <v>6.7789999999999999</v>
      </c>
      <c r="P19" s="132"/>
      <c r="Q19" s="132"/>
      <c r="R19" s="129">
        <v>0</v>
      </c>
      <c r="S19" s="131">
        <f t="shared" si="4"/>
        <v>6.7789999999999999</v>
      </c>
      <c r="T19" s="132"/>
      <c r="U19" s="166"/>
      <c r="V19" s="166"/>
    </row>
    <row r="20" spans="1:23" s="115" customFormat="1" ht="23.25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>E21+E22+E23+E25+E24</f>
        <v>1024661.45</v>
      </c>
      <c r="F20" s="129">
        <f t="shared" si="7"/>
        <v>365942.89600000001</v>
      </c>
      <c r="G20" s="128">
        <f t="shared" ref="G20:K20" si="16">G21+G22+G23+G25+G24</f>
        <v>103730.772</v>
      </c>
      <c r="H20" s="128">
        <f t="shared" si="16"/>
        <v>124787.395</v>
      </c>
      <c r="I20" s="128">
        <f t="shared" si="16"/>
        <v>38829.207000000009</v>
      </c>
      <c r="J20" s="128">
        <f t="shared" si="16"/>
        <v>98595.522000000012</v>
      </c>
      <c r="K20" s="130">
        <f t="shared" si="16"/>
        <v>359177.7</v>
      </c>
      <c r="L20" s="131">
        <f t="shared" si="1"/>
        <v>6765.1959999999963</v>
      </c>
      <c r="M20" s="132">
        <f t="shared" si="14"/>
        <v>101.88352339246005</v>
      </c>
      <c r="N20" s="131">
        <f t="shared" si="9"/>
        <v>382828.74499999994</v>
      </c>
      <c r="O20" s="131">
        <f t="shared" si="2"/>
        <v>-16885.848999999929</v>
      </c>
      <c r="P20" s="132">
        <f t="shared" si="3"/>
        <v>95.589189886981984</v>
      </c>
      <c r="Q20" s="132">
        <f t="shared" si="8"/>
        <v>31.863063295660659</v>
      </c>
      <c r="R20" s="129">
        <f t="shared" ref="R20" si="17">R21+R22+R23+R25+R24</f>
        <v>318037.61600000004</v>
      </c>
      <c r="S20" s="131">
        <f t="shared" si="4"/>
        <v>47905.27999999997</v>
      </c>
      <c r="T20" s="132">
        <f t="shared" si="15"/>
        <v>115.06277169427655</v>
      </c>
      <c r="U20" s="166">
        <f>R22+R23+R21</f>
        <v>109609.242</v>
      </c>
      <c r="V20" s="166">
        <f>F21+F22+F23</f>
        <v>106125.51800000001</v>
      </c>
    </row>
    <row r="21" spans="1:23" s="117" customFormat="1" ht="23.25" x14ac:dyDescent="0.25">
      <c r="A21" s="116" t="s">
        <v>141</v>
      </c>
      <c r="B21" s="196" t="s">
        <v>59</v>
      </c>
      <c r="C21" s="236" t="s">
        <v>46</v>
      </c>
      <c r="D21" s="133">
        <v>116436.235</v>
      </c>
      <c r="E21" s="133">
        <v>92667.25</v>
      </c>
      <c r="F21" s="134">
        <f t="shared" si="7"/>
        <v>34896.737000000001</v>
      </c>
      <c r="G21" s="133">
        <v>13619.357</v>
      </c>
      <c r="H21" s="133">
        <v>3898.9369999999999</v>
      </c>
      <c r="I21" s="133">
        <v>2387.5859999999998</v>
      </c>
      <c r="J21" s="133">
        <v>14990.857</v>
      </c>
      <c r="K21" s="135">
        <v>33000</v>
      </c>
      <c r="L21" s="136">
        <f t="shared" si="1"/>
        <v>1896.737000000001</v>
      </c>
      <c r="M21" s="137">
        <f t="shared" si="14"/>
        <v>105.74768787878787</v>
      </c>
      <c r="N21" s="164">
        <f t="shared" si="9"/>
        <v>38812.078333333331</v>
      </c>
      <c r="O21" s="136">
        <f t="shared" si="2"/>
        <v>-3915.3413333333301</v>
      </c>
      <c r="P21" s="137">
        <f t="shared" si="3"/>
        <v>89.91205443906702</v>
      </c>
      <c r="Q21" s="137">
        <f t="shared" si="8"/>
        <v>29.970684813022341</v>
      </c>
      <c r="R21" s="134">
        <v>33135.280999999995</v>
      </c>
      <c r="S21" s="136">
        <f t="shared" si="4"/>
        <v>1761.4560000000056</v>
      </c>
      <c r="T21" s="137">
        <f t="shared" si="15"/>
        <v>105.31595310750497</v>
      </c>
    </row>
    <row r="22" spans="1:23" s="117" customFormat="1" ht="23.25" x14ac:dyDescent="0.25">
      <c r="A22" s="85" t="s">
        <v>142</v>
      </c>
      <c r="B22" s="196" t="s">
        <v>7</v>
      </c>
      <c r="C22" s="236"/>
      <c r="D22" s="133">
        <v>271200</v>
      </c>
      <c r="E22" s="133">
        <v>300000</v>
      </c>
      <c r="F22" s="134">
        <f t="shared" si="7"/>
        <v>70686.474000000002</v>
      </c>
      <c r="G22" s="133">
        <v>16688.975999999999</v>
      </c>
      <c r="H22" s="133">
        <v>18871.809000000001</v>
      </c>
      <c r="I22" s="133">
        <v>17285.559000000001</v>
      </c>
      <c r="J22" s="133">
        <v>17840.13</v>
      </c>
      <c r="K22" s="135">
        <v>68055</v>
      </c>
      <c r="L22" s="136">
        <f t="shared" si="1"/>
        <v>2631.474000000002</v>
      </c>
      <c r="M22" s="137">
        <f t="shared" si="14"/>
        <v>103.86668723826318</v>
      </c>
      <c r="N22" s="131">
        <f t="shared" si="9"/>
        <v>90400</v>
      </c>
      <c r="O22" s="136">
        <f t="shared" si="2"/>
        <v>-19713.525999999998</v>
      </c>
      <c r="P22" s="137">
        <f t="shared" si="3"/>
        <v>78.193002212389388</v>
      </c>
      <c r="Q22" s="137">
        <f t="shared" si="8"/>
        <v>26.064334070796463</v>
      </c>
      <c r="R22" s="134">
        <v>75700.50499999999</v>
      </c>
      <c r="S22" s="136">
        <f t="shared" si="4"/>
        <v>-5014.0309999999881</v>
      </c>
      <c r="T22" s="137">
        <f t="shared" si="15"/>
        <v>93.376489364238736</v>
      </c>
    </row>
    <row r="23" spans="1:23" s="117" customFormat="1" ht="23.25" x14ac:dyDescent="0.25">
      <c r="A23" s="85" t="s">
        <v>143</v>
      </c>
      <c r="B23" s="196" t="s">
        <v>60</v>
      </c>
      <c r="C23" s="236"/>
      <c r="D23" s="133">
        <v>1200</v>
      </c>
      <c r="E23" s="133">
        <v>475</v>
      </c>
      <c r="F23" s="134">
        <f t="shared" si="7"/>
        <v>542.30700000000002</v>
      </c>
      <c r="G23" s="133">
        <v>247.57300000000001</v>
      </c>
      <c r="H23" s="133">
        <v>103.74299999999999</v>
      </c>
      <c r="I23" s="133">
        <v>29.167000000000002</v>
      </c>
      <c r="J23" s="133">
        <v>161.82400000000001</v>
      </c>
      <c r="K23" s="135">
        <v>477.8</v>
      </c>
      <c r="L23" s="136">
        <f t="shared" si="1"/>
        <v>64.507000000000005</v>
      </c>
      <c r="M23" s="137">
        <f t="shared" si="14"/>
        <v>113.50083717036416</v>
      </c>
      <c r="N23" s="131">
        <f t="shared" si="9"/>
        <v>400</v>
      </c>
      <c r="O23" s="136">
        <f t="shared" si="2"/>
        <v>142.30700000000002</v>
      </c>
      <c r="P23" s="137">
        <f t="shared" si="3"/>
        <v>135.57675</v>
      </c>
      <c r="Q23" s="137">
        <f t="shared" si="8"/>
        <v>45.192250000000001</v>
      </c>
      <c r="R23" s="134">
        <v>773.45600000000002</v>
      </c>
      <c r="S23" s="136">
        <f t="shared" si="4"/>
        <v>-231.149</v>
      </c>
      <c r="T23" s="137">
        <f t="shared" si="15"/>
        <v>70.114783517097294</v>
      </c>
      <c r="U23" s="137">
        <f>100-T23</f>
        <v>29.885216482902706</v>
      </c>
      <c r="V23" s="118"/>
      <c r="W23" s="119" t="e">
        <f>F21/#REF!*100</f>
        <v>#REF!</v>
      </c>
    </row>
    <row r="24" spans="1:23" s="121" customFormat="1" ht="23.25" x14ac:dyDescent="0.25">
      <c r="A24" s="85" t="s">
        <v>144</v>
      </c>
      <c r="B24" s="196" t="s">
        <v>42</v>
      </c>
      <c r="C24" s="120" t="s">
        <v>41</v>
      </c>
      <c r="D24" s="133">
        <v>2050</v>
      </c>
      <c r="E24" s="133">
        <v>950</v>
      </c>
      <c r="F24" s="134">
        <f t="shared" si="7"/>
        <v>622.28700000000003</v>
      </c>
      <c r="G24" s="133">
        <v>94</v>
      </c>
      <c r="H24" s="133">
        <v>159.066</v>
      </c>
      <c r="I24" s="133">
        <v>113.41</v>
      </c>
      <c r="J24" s="133">
        <v>255.81100000000001</v>
      </c>
      <c r="K24" s="135">
        <v>567.9</v>
      </c>
      <c r="L24" s="136">
        <f t="shared" si="1"/>
        <v>54.387000000000057</v>
      </c>
      <c r="M24" s="137">
        <f t="shared" si="14"/>
        <v>109.57686212361332</v>
      </c>
      <c r="N24" s="131">
        <f t="shared" si="9"/>
        <v>683.33333333333337</v>
      </c>
      <c r="O24" s="136">
        <f t="shared" si="2"/>
        <v>-61.046333333333337</v>
      </c>
      <c r="P24" s="137">
        <f t="shared" si="3"/>
        <v>91.066390243902447</v>
      </c>
      <c r="Q24" s="137">
        <f t="shared" si="8"/>
        <v>30.355463414634148</v>
      </c>
      <c r="R24" s="134">
        <v>309.78700000000003</v>
      </c>
      <c r="S24" s="133">
        <f t="shared" si="4"/>
        <v>312.5</v>
      </c>
      <c r="T24" s="137">
        <f t="shared" si="15"/>
        <v>200.87576302427149</v>
      </c>
    </row>
    <row r="25" spans="1:23" s="117" customFormat="1" ht="23.25" x14ac:dyDescent="0.25">
      <c r="A25" s="85" t="s">
        <v>208</v>
      </c>
      <c r="B25" s="196" t="s">
        <v>35</v>
      </c>
      <c r="C25" s="212" t="s">
        <v>36</v>
      </c>
      <c r="D25" s="133">
        <v>757600</v>
      </c>
      <c r="E25" s="133">
        <v>630569.19999999995</v>
      </c>
      <c r="F25" s="134">
        <f t="shared" si="7"/>
        <v>259195.09099999999</v>
      </c>
      <c r="G25" s="133">
        <v>73080.865999999995</v>
      </c>
      <c r="H25" s="133">
        <v>101753.84</v>
      </c>
      <c r="I25" s="133">
        <v>19013.485000000001</v>
      </c>
      <c r="J25" s="133">
        <v>65346.9</v>
      </c>
      <c r="K25" s="135">
        <v>257077</v>
      </c>
      <c r="L25" s="136">
        <f t="shared" si="1"/>
        <v>2118.0909999999858</v>
      </c>
      <c r="M25" s="137">
        <f t="shared" si="14"/>
        <v>100.82391306884708</v>
      </c>
      <c r="N25" s="131">
        <f t="shared" si="9"/>
        <v>252533.33333333334</v>
      </c>
      <c r="O25" s="136">
        <f t="shared" si="2"/>
        <v>6661.7576666666428</v>
      </c>
      <c r="P25" s="137">
        <f t="shared" si="3"/>
        <v>102.63797162090813</v>
      </c>
      <c r="Q25" s="137">
        <f t="shared" si="8"/>
        <v>34.212657206969375</v>
      </c>
      <c r="R25" s="134">
        <v>208118.587</v>
      </c>
      <c r="S25" s="136">
        <f t="shared" si="4"/>
        <v>51076.503999999986</v>
      </c>
      <c r="T25" s="137">
        <f t="shared" si="15"/>
        <v>124.54201940165967</v>
      </c>
      <c r="V25" s="118"/>
      <c r="W25" s="119" t="e">
        <f>F25/#REF!*100</f>
        <v>#REF!</v>
      </c>
    </row>
    <row r="26" spans="1:23" s="84" customFormat="1" ht="39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v>450</v>
      </c>
      <c r="F26" s="129">
        <f t="shared" si="7"/>
        <v>85.632999999999996</v>
      </c>
      <c r="G26" s="128">
        <v>1.284</v>
      </c>
      <c r="H26" s="128">
        <v>40.808</v>
      </c>
      <c r="I26" s="128">
        <v>10.311</v>
      </c>
      <c r="J26" s="128">
        <v>33.229999999999997</v>
      </c>
      <c r="K26" s="130">
        <v>85</v>
      </c>
      <c r="L26" s="131">
        <f t="shared" si="1"/>
        <v>0.63299999999999557</v>
      </c>
      <c r="M26" s="132">
        <f t="shared" si="14"/>
        <v>100.74470588235293</v>
      </c>
      <c r="N26" s="131">
        <f t="shared" si="9"/>
        <v>316.66666666666669</v>
      </c>
      <c r="O26" s="131">
        <f t="shared" si="2"/>
        <v>-231.0336666666667</v>
      </c>
      <c r="P26" s="132">
        <f t="shared" si="3"/>
        <v>27.041999999999998</v>
      </c>
      <c r="Q26" s="132">
        <f t="shared" si="8"/>
        <v>9.0139999999999993</v>
      </c>
      <c r="R26" s="129">
        <v>139.57</v>
      </c>
      <c r="S26" s="131">
        <f t="shared" si="4"/>
        <v>-53.936999999999998</v>
      </c>
      <c r="T26" s="132">
        <f>F26/R26*100</f>
        <v>61.354875689618119</v>
      </c>
      <c r="U26" s="83">
        <f>100-T26</f>
        <v>38.645124310381881</v>
      </c>
    </row>
    <row r="27" spans="1:23" s="84" customFormat="1" ht="23.25" x14ac:dyDescent="0.25">
      <c r="A27" s="80">
        <f t="shared" ref="A27:A34" si="18">A26+1</f>
        <v>8</v>
      </c>
      <c r="B27" s="89" t="s">
        <v>76</v>
      </c>
      <c r="C27" s="81" t="s">
        <v>75</v>
      </c>
      <c r="D27" s="128">
        <v>12000</v>
      </c>
      <c r="E27" s="128">
        <v>12000</v>
      </c>
      <c r="F27" s="129">
        <f t="shared" si="7"/>
        <v>4200.6499999999996</v>
      </c>
      <c r="G27" s="128">
        <v>501.13</v>
      </c>
      <c r="H27" s="128">
        <v>1239.6949999999999</v>
      </c>
      <c r="I27" s="128">
        <v>1250.075</v>
      </c>
      <c r="J27" s="128">
        <v>1209.75</v>
      </c>
      <c r="K27" s="130">
        <v>3950</v>
      </c>
      <c r="L27" s="131">
        <f t="shared" si="1"/>
        <v>250.64999999999964</v>
      </c>
      <c r="M27" s="132">
        <f t="shared" si="14"/>
        <v>106.34556962025317</v>
      </c>
      <c r="N27" s="131">
        <f t="shared" si="9"/>
        <v>4000</v>
      </c>
      <c r="O27" s="131">
        <f t="shared" si="2"/>
        <v>200.64999999999964</v>
      </c>
      <c r="P27" s="132">
        <f t="shared" si="3"/>
        <v>105.01624999999999</v>
      </c>
      <c r="Q27" s="132">
        <f t="shared" si="8"/>
        <v>35.005416666666662</v>
      </c>
      <c r="R27" s="129">
        <v>4872.3790000000008</v>
      </c>
      <c r="S27" s="131">
        <f t="shared" si="4"/>
        <v>-671.72900000000118</v>
      </c>
      <c r="T27" s="132">
        <f>F27/R27*100</f>
        <v>86.213531418635512</v>
      </c>
    </row>
    <row r="28" spans="1:23" s="84" customFormat="1" ht="23.25" x14ac:dyDescent="0.25">
      <c r="A28" s="80">
        <f t="shared" si="18"/>
        <v>9</v>
      </c>
      <c r="B28" s="89" t="s">
        <v>8</v>
      </c>
      <c r="C28" s="81" t="s">
        <v>19</v>
      </c>
      <c r="D28" s="128">
        <v>6.1</v>
      </c>
      <c r="E28" s="128">
        <v>5.5</v>
      </c>
      <c r="F28" s="129">
        <f t="shared" si="7"/>
        <v>0</v>
      </c>
      <c r="G28" s="128">
        <v>0</v>
      </c>
      <c r="H28" s="128"/>
      <c r="I28" s="128">
        <v>0</v>
      </c>
      <c r="J28" s="128">
        <v>0</v>
      </c>
      <c r="K28" s="130">
        <v>0</v>
      </c>
      <c r="L28" s="131">
        <f t="shared" si="1"/>
        <v>0</v>
      </c>
      <c r="M28" s="132"/>
      <c r="N28" s="131">
        <f t="shared" si="9"/>
        <v>2.0333333333333332</v>
      </c>
      <c r="O28" s="131">
        <f t="shared" si="2"/>
        <v>-2.0333333333333332</v>
      </c>
      <c r="P28" s="132">
        <f t="shared" si="3"/>
        <v>0</v>
      </c>
      <c r="Q28" s="132">
        <f t="shared" si="8"/>
        <v>0</v>
      </c>
      <c r="R28" s="129">
        <v>0.38</v>
      </c>
      <c r="S28" s="131">
        <f t="shared" si="4"/>
        <v>-0.38</v>
      </c>
      <c r="T28" s="132"/>
    </row>
    <row r="29" spans="1:23" s="84" customFormat="1" ht="58.5" x14ac:dyDescent="0.25">
      <c r="A29" s="80">
        <f t="shared" si="18"/>
        <v>10</v>
      </c>
      <c r="B29" s="151" t="s">
        <v>97</v>
      </c>
      <c r="C29" s="109" t="s">
        <v>98</v>
      </c>
      <c r="D29" s="128">
        <v>0.05</v>
      </c>
      <c r="E29" s="128">
        <v>4.5</v>
      </c>
      <c r="F29" s="129">
        <f t="shared" si="7"/>
        <v>5.1849999999999996</v>
      </c>
      <c r="G29" s="128">
        <v>5.1849999999999996</v>
      </c>
      <c r="H29" s="128"/>
      <c r="I29" s="128">
        <v>0</v>
      </c>
      <c r="J29" s="128">
        <v>0</v>
      </c>
      <c r="K29" s="130">
        <v>0.05</v>
      </c>
      <c r="L29" s="131">
        <f t="shared" si="1"/>
        <v>5.1349999999999998</v>
      </c>
      <c r="M29" s="132">
        <f t="shared" ref="M29:M40" si="19">F29/K29*100</f>
        <v>10369.999999999998</v>
      </c>
      <c r="N29" s="131">
        <f t="shared" si="9"/>
        <v>1.6666666666666666E-2</v>
      </c>
      <c r="O29" s="131">
        <f t="shared" si="2"/>
        <v>5.168333333333333</v>
      </c>
      <c r="P29" s="132">
        <f t="shared" si="3"/>
        <v>31109.999999999996</v>
      </c>
      <c r="Q29" s="132">
        <f t="shared" si="8"/>
        <v>10369.999999999998</v>
      </c>
      <c r="R29" s="129">
        <v>0</v>
      </c>
      <c r="S29" s="131">
        <f t="shared" si="4"/>
        <v>5.1849999999999996</v>
      </c>
      <c r="T29" s="132"/>
    </row>
    <row r="30" spans="1:23" s="84" customFormat="1" ht="23.25" x14ac:dyDescent="0.25">
      <c r="A30" s="80">
        <f t="shared" si="18"/>
        <v>11</v>
      </c>
      <c r="B30" s="147" t="s">
        <v>32</v>
      </c>
      <c r="C30" s="81" t="s">
        <v>25</v>
      </c>
      <c r="D30" s="128">
        <v>14300</v>
      </c>
      <c r="E30" s="128">
        <v>8804.73</v>
      </c>
      <c r="F30" s="129">
        <f t="shared" si="7"/>
        <v>2629.6210000000001</v>
      </c>
      <c r="G30" s="128">
        <v>1031.287</v>
      </c>
      <c r="H30" s="128">
        <v>1145.06</v>
      </c>
      <c r="I30" s="128">
        <v>101.938</v>
      </c>
      <c r="J30" s="128">
        <v>351.33600000000001</v>
      </c>
      <c r="K30" s="130">
        <v>2515</v>
      </c>
      <c r="L30" s="131">
        <f t="shared" si="1"/>
        <v>114.62100000000009</v>
      </c>
      <c r="M30" s="132">
        <f t="shared" si="19"/>
        <v>104.55749502982108</v>
      </c>
      <c r="N30" s="131">
        <f t="shared" si="9"/>
        <v>4766.666666666667</v>
      </c>
      <c r="O30" s="131">
        <f t="shared" si="2"/>
        <v>-2137.0456666666669</v>
      </c>
      <c r="P30" s="132">
        <f t="shared" si="3"/>
        <v>55.166874125874124</v>
      </c>
      <c r="Q30" s="132">
        <f t="shared" si="8"/>
        <v>18.388958041958041</v>
      </c>
      <c r="R30" s="129">
        <v>3223.8270000000002</v>
      </c>
      <c r="S30" s="131">
        <f t="shared" si="4"/>
        <v>-594.20600000000013</v>
      </c>
      <c r="T30" s="132">
        <f t="shared" ref="T30:T40" si="20">F30/R30*100</f>
        <v>81.56830375823516</v>
      </c>
      <c r="U30" s="83">
        <f>J30-'[1]2021'!$I$29</f>
        <v>-542.63099999999997</v>
      </c>
    </row>
    <row r="31" spans="1:23" s="84" customFormat="1" ht="39" x14ac:dyDescent="0.25">
      <c r="A31" s="80">
        <f t="shared" si="18"/>
        <v>12</v>
      </c>
      <c r="B31" s="147" t="s">
        <v>87</v>
      </c>
      <c r="C31" s="81" t="s">
        <v>86</v>
      </c>
      <c r="D31" s="128">
        <v>560</v>
      </c>
      <c r="E31" s="128">
        <v>410</v>
      </c>
      <c r="F31" s="129">
        <f t="shared" si="7"/>
        <v>86.575000000000003</v>
      </c>
      <c r="G31" s="128">
        <v>79.635000000000005</v>
      </c>
      <c r="H31" s="128">
        <v>6.94</v>
      </c>
      <c r="I31" s="128">
        <v>0</v>
      </c>
      <c r="J31" s="128">
        <v>0</v>
      </c>
      <c r="K31" s="130">
        <v>86</v>
      </c>
      <c r="L31" s="131">
        <f t="shared" si="1"/>
        <v>0.57500000000000284</v>
      </c>
      <c r="M31" s="132">
        <f t="shared" si="19"/>
        <v>100.66860465116278</v>
      </c>
      <c r="N31" s="131">
        <f t="shared" si="9"/>
        <v>186.66666666666666</v>
      </c>
      <c r="O31" s="131">
        <f t="shared" si="2"/>
        <v>-100.09166666666665</v>
      </c>
      <c r="P31" s="132">
        <f t="shared" si="3"/>
        <v>46.379464285714292</v>
      </c>
      <c r="Q31" s="132">
        <f t="shared" si="8"/>
        <v>15.459821428571431</v>
      </c>
      <c r="R31" s="129">
        <v>96.92</v>
      </c>
      <c r="S31" s="131">
        <f t="shared" si="4"/>
        <v>-10.344999999999999</v>
      </c>
      <c r="T31" s="132">
        <f t="shared" si="20"/>
        <v>89.326248452331825</v>
      </c>
    </row>
    <row r="32" spans="1:23" s="84" customFormat="1" ht="23.25" x14ac:dyDescent="0.25">
      <c r="A32" s="80">
        <f t="shared" si="18"/>
        <v>13</v>
      </c>
      <c r="B32" s="147" t="s">
        <v>117</v>
      </c>
      <c r="C32" s="81" t="s">
        <v>118</v>
      </c>
      <c r="D32" s="128">
        <v>18563.54</v>
      </c>
      <c r="E32" s="128">
        <v>15000</v>
      </c>
      <c r="F32" s="129">
        <f t="shared" si="7"/>
        <v>5624.5360000000001</v>
      </c>
      <c r="G32" s="128">
        <v>1407.4690000000001</v>
      </c>
      <c r="H32" s="128">
        <v>1637.8989999999999</v>
      </c>
      <c r="I32" s="128">
        <v>1178.489</v>
      </c>
      <c r="J32" s="128">
        <v>1400.6790000000001</v>
      </c>
      <c r="K32" s="130">
        <v>5320</v>
      </c>
      <c r="L32" s="131">
        <f t="shared" si="1"/>
        <v>304.53600000000006</v>
      </c>
      <c r="M32" s="132">
        <f t="shared" si="19"/>
        <v>105.72436090225563</v>
      </c>
      <c r="N32" s="131">
        <f t="shared" si="9"/>
        <v>6187.8466666666673</v>
      </c>
      <c r="O32" s="131">
        <f t="shared" si="2"/>
        <v>-563.3106666666672</v>
      </c>
      <c r="P32" s="132">
        <f t="shared" si="3"/>
        <v>90.896499266842412</v>
      </c>
      <c r="Q32" s="132">
        <f t="shared" si="8"/>
        <v>30.298833088947475</v>
      </c>
      <c r="R32" s="129">
        <v>5778.8729999999996</v>
      </c>
      <c r="S32" s="131">
        <f t="shared" si="4"/>
        <v>-154.33699999999953</v>
      </c>
      <c r="T32" s="132">
        <f t="shared" si="20"/>
        <v>97.329288946131882</v>
      </c>
    </row>
    <row r="33" spans="1:27" s="84" customFormat="1" ht="59.25" customHeight="1" x14ac:dyDescent="0.25">
      <c r="A33" s="80">
        <f t="shared" si="18"/>
        <v>14</v>
      </c>
      <c r="B33" s="147" t="s">
        <v>176</v>
      </c>
      <c r="C33" s="81" t="s">
        <v>177</v>
      </c>
      <c r="D33" s="128">
        <v>35</v>
      </c>
      <c r="E33" s="128"/>
      <c r="F33" s="129">
        <f t="shared" si="7"/>
        <v>18.361999999999998</v>
      </c>
      <c r="G33" s="128">
        <v>8.39</v>
      </c>
      <c r="H33" s="128">
        <v>6.0720000000000001</v>
      </c>
      <c r="I33" s="128">
        <v>1.95</v>
      </c>
      <c r="J33" s="128">
        <v>1.95</v>
      </c>
      <c r="K33" s="130">
        <v>17.7</v>
      </c>
      <c r="L33" s="131">
        <f t="shared" si="1"/>
        <v>0.66199999999999903</v>
      </c>
      <c r="M33" s="132">
        <f t="shared" si="19"/>
        <v>103.74011299435028</v>
      </c>
      <c r="N33" s="131">
        <f t="shared" si="9"/>
        <v>11.666666666666666</v>
      </c>
      <c r="O33" s="131">
        <f t="shared" si="2"/>
        <v>6.6953333333333322</v>
      </c>
      <c r="P33" s="132">
        <f>F33/N33*100</f>
        <v>157.38857142857142</v>
      </c>
      <c r="Q33" s="132">
        <f t="shared" si="8"/>
        <v>52.462857142857132</v>
      </c>
      <c r="R33" s="129">
        <v>4.391</v>
      </c>
      <c r="S33" s="131">
        <f t="shared" si="4"/>
        <v>13.970999999999998</v>
      </c>
      <c r="T33" s="132">
        <f t="shared" si="20"/>
        <v>418.17353677977678</v>
      </c>
    </row>
    <row r="34" spans="1:27" s="84" customFormat="1" ht="23.25" x14ac:dyDescent="0.25">
      <c r="A34" s="80">
        <f t="shared" si="18"/>
        <v>15</v>
      </c>
      <c r="B34" s="147" t="s">
        <v>89</v>
      </c>
      <c r="C34" s="81" t="s">
        <v>88</v>
      </c>
      <c r="D34" s="128">
        <f>SUM(D35:D38)</f>
        <v>34832</v>
      </c>
      <c r="E34" s="128">
        <f>SUM(E35:E38)</f>
        <v>27762.799999999999</v>
      </c>
      <c r="F34" s="129">
        <f t="shared" si="7"/>
        <v>11137.337</v>
      </c>
      <c r="G34" s="128">
        <f t="shared" ref="G34:K34" si="21">SUM(G35:G38)</f>
        <v>2780.7419999999997</v>
      </c>
      <c r="H34" s="128">
        <f t="shared" si="21"/>
        <v>3150.4549999999999</v>
      </c>
      <c r="I34" s="128">
        <f t="shared" si="21"/>
        <v>1405.0839999999998</v>
      </c>
      <c r="J34" s="128">
        <f t="shared" si="21"/>
        <v>3801.056</v>
      </c>
      <c r="K34" s="130">
        <f t="shared" si="21"/>
        <v>10899.391</v>
      </c>
      <c r="L34" s="131">
        <f t="shared" si="1"/>
        <v>237.94599999999991</v>
      </c>
      <c r="M34" s="132">
        <f t="shared" si="19"/>
        <v>102.18311279960504</v>
      </c>
      <c r="N34" s="131">
        <f t="shared" si="9"/>
        <v>11610.666666666666</v>
      </c>
      <c r="O34" s="131">
        <f t="shared" si="2"/>
        <v>-473.32966666666653</v>
      </c>
      <c r="P34" s="132">
        <f t="shared" si="3"/>
        <v>95.923320509875978</v>
      </c>
      <c r="Q34" s="132">
        <f t="shared" si="8"/>
        <v>31.974440169958658</v>
      </c>
      <c r="R34" s="129">
        <f t="shared" ref="R34" si="22">SUM(R35:R38)</f>
        <v>9568.1930000000011</v>
      </c>
      <c r="S34" s="131">
        <f t="shared" si="4"/>
        <v>1569.1439999999984</v>
      </c>
      <c r="T34" s="132">
        <f t="shared" si="20"/>
        <v>116.39958558528238</v>
      </c>
      <c r="U34" s="82">
        <f>J34-'[1]2021'!$I$33</f>
        <v>1244.779</v>
      </c>
    </row>
    <row r="35" spans="1:27" s="88" customFormat="1" ht="39" x14ac:dyDescent="0.25">
      <c r="A35" s="85" t="s">
        <v>209</v>
      </c>
      <c r="B35" s="148" t="s">
        <v>81</v>
      </c>
      <c r="C35" s="212" t="s">
        <v>80</v>
      </c>
      <c r="D35" s="133">
        <v>1500</v>
      </c>
      <c r="E35" s="133">
        <v>1300</v>
      </c>
      <c r="F35" s="134">
        <f t="shared" si="7"/>
        <v>296.71699999999998</v>
      </c>
      <c r="G35" s="133">
        <v>105.29900000000001</v>
      </c>
      <c r="H35" s="133">
        <v>116.64</v>
      </c>
      <c r="I35" s="133">
        <v>11.1</v>
      </c>
      <c r="J35" s="133">
        <v>63.677999999999997</v>
      </c>
      <c r="K35" s="135">
        <v>273</v>
      </c>
      <c r="L35" s="136">
        <f t="shared" si="1"/>
        <v>23.716999999999985</v>
      </c>
      <c r="M35" s="137">
        <f t="shared" si="19"/>
        <v>108.68754578754579</v>
      </c>
      <c r="N35" s="131">
        <f t="shared" si="9"/>
        <v>500</v>
      </c>
      <c r="O35" s="136">
        <f t="shared" si="2"/>
        <v>-203.28300000000002</v>
      </c>
      <c r="P35" s="137">
        <f t="shared" si="3"/>
        <v>59.343400000000003</v>
      </c>
      <c r="Q35" s="137">
        <f t="shared" si="8"/>
        <v>19.781133333333329</v>
      </c>
      <c r="R35" s="134">
        <v>497.947</v>
      </c>
      <c r="S35" s="136">
        <f t="shared" si="4"/>
        <v>-201.23000000000002</v>
      </c>
      <c r="T35" s="137">
        <f t="shared" si="20"/>
        <v>59.588068609711478</v>
      </c>
      <c r="U35" s="137">
        <f>T35-100</f>
        <v>-40.411931390288522</v>
      </c>
      <c r="V35" s="86"/>
    </row>
    <row r="36" spans="1:27" s="88" customFormat="1" ht="23.25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v>24922.799999999999</v>
      </c>
      <c r="F36" s="134">
        <f t="shared" si="7"/>
        <v>10619.442000000001</v>
      </c>
      <c r="G36" s="133">
        <v>2558.1509999999998</v>
      </c>
      <c r="H36" s="133">
        <v>2929.9290000000001</v>
      </c>
      <c r="I36" s="133">
        <v>1393.9839999999999</v>
      </c>
      <c r="J36" s="133">
        <v>3737.3780000000002</v>
      </c>
      <c r="K36" s="135">
        <v>10406.290999999999</v>
      </c>
      <c r="L36" s="136">
        <f t="shared" si="1"/>
        <v>213.15100000000166</v>
      </c>
      <c r="M36" s="137">
        <f t="shared" si="19"/>
        <v>102.04828982775902</v>
      </c>
      <c r="N36" s="131">
        <f t="shared" si="9"/>
        <v>10666.666666666666</v>
      </c>
      <c r="O36" s="136">
        <f t="shared" si="2"/>
        <v>-47.224666666665144</v>
      </c>
      <c r="P36" s="137">
        <f t="shared" si="3"/>
        <v>99.55726875000002</v>
      </c>
      <c r="Q36" s="137">
        <f t="shared" si="8"/>
        <v>33.185756250000004</v>
      </c>
      <c r="R36" s="134">
        <v>8591.8670000000002</v>
      </c>
      <c r="S36" s="136">
        <f t="shared" si="4"/>
        <v>2027.5750000000007</v>
      </c>
      <c r="T36" s="137">
        <f t="shared" si="20"/>
        <v>123.59877079102833</v>
      </c>
      <c r="U36" s="137">
        <f>T36-100</f>
        <v>23.598770791028329</v>
      </c>
      <c r="V36" s="87"/>
    </row>
    <row r="37" spans="1:27" s="88" customFormat="1" ht="23.25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v>1400</v>
      </c>
      <c r="F37" s="134">
        <f t="shared" si="7"/>
        <v>204.708</v>
      </c>
      <c r="G37" s="133">
        <v>109.502</v>
      </c>
      <c r="H37" s="133">
        <v>95.206000000000003</v>
      </c>
      <c r="I37" s="133">
        <v>0</v>
      </c>
      <c r="J37" s="133">
        <v>0</v>
      </c>
      <c r="K37" s="135">
        <v>203.7</v>
      </c>
      <c r="L37" s="136">
        <f t="shared" si="1"/>
        <v>1.0080000000000098</v>
      </c>
      <c r="M37" s="137">
        <f t="shared" si="19"/>
        <v>100.49484536082474</v>
      </c>
      <c r="N37" s="131">
        <f t="shared" si="9"/>
        <v>416.66666666666669</v>
      </c>
      <c r="O37" s="136">
        <f t="shared" si="2"/>
        <v>-211.95866666666669</v>
      </c>
      <c r="P37" s="137">
        <f t="shared" si="3"/>
        <v>49.129919999999998</v>
      </c>
      <c r="Q37" s="137">
        <f t="shared" si="8"/>
        <v>16.376640000000002</v>
      </c>
      <c r="R37" s="134">
        <v>457.43899999999996</v>
      </c>
      <c r="S37" s="136">
        <f t="shared" si="4"/>
        <v>-252.73099999999997</v>
      </c>
      <c r="T37" s="137">
        <f t="shared" si="20"/>
        <v>44.75088481742921</v>
      </c>
    </row>
    <row r="38" spans="1:27" s="88" customFormat="1" ht="78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v>140</v>
      </c>
      <c r="F38" s="134">
        <f t="shared" si="7"/>
        <v>16.47</v>
      </c>
      <c r="G38" s="133">
        <v>7.79</v>
      </c>
      <c r="H38" s="133">
        <v>8.68</v>
      </c>
      <c r="I38" s="133">
        <v>0</v>
      </c>
      <c r="J38" s="133">
        <v>0</v>
      </c>
      <c r="K38" s="135">
        <v>16.399999999999999</v>
      </c>
      <c r="L38" s="136">
        <f t="shared" si="1"/>
        <v>7.0000000000000284E-2</v>
      </c>
      <c r="M38" s="137">
        <f t="shared" si="19"/>
        <v>100.42682926829269</v>
      </c>
      <c r="N38" s="131">
        <f t="shared" si="9"/>
        <v>27.333333333333332</v>
      </c>
      <c r="O38" s="136">
        <f t="shared" si="2"/>
        <v>-10.863333333333333</v>
      </c>
      <c r="P38" s="137">
        <f t="shared" si="3"/>
        <v>60.256097560975604</v>
      </c>
      <c r="Q38" s="137">
        <f t="shared" si="8"/>
        <v>20.085365853658534</v>
      </c>
      <c r="R38" s="134">
        <v>20.94</v>
      </c>
      <c r="S38" s="136">
        <f t="shared" si="4"/>
        <v>-4.4700000000000024</v>
      </c>
      <c r="T38" s="137">
        <f t="shared" si="20"/>
        <v>78.653295128939817</v>
      </c>
    </row>
    <row r="39" spans="1:27" s="84" customFormat="1" ht="39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v>12000</v>
      </c>
      <c r="F39" s="129">
        <f t="shared" si="7"/>
        <v>3708.6959999999999</v>
      </c>
      <c r="G39" s="128">
        <v>1496.537</v>
      </c>
      <c r="H39" s="128">
        <v>908.92200000000003</v>
      </c>
      <c r="I39" s="128">
        <v>518.16800000000001</v>
      </c>
      <c r="J39" s="128">
        <v>785.06899999999996</v>
      </c>
      <c r="K39" s="130">
        <v>3683</v>
      </c>
      <c r="L39" s="131">
        <f t="shared" si="1"/>
        <v>25.695999999999913</v>
      </c>
      <c r="M39" s="132">
        <f t="shared" si="19"/>
        <v>100.69769209883248</v>
      </c>
      <c r="N39" s="131">
        <f t="shared" si="9"/>
        <v>4100</v>
      </c>
      <c r="O39" s="131">
        <f t="shared" si="2"/>
        <v>-391.30400000000009</v>
      </c>
      <c r="P39" s="132">
        <f t="shared" si="3"/>
        <v>90.456000000000003</v>
      </c>
      <c r="Q39" s="132">
        <f t="shared" si="8"/>
        <v>30.152000000000001</v>
      </c>
      <c r="R39" s="129">
        <v>3726.7980000000002</v>
      </c>
      <c r="S39" s="131">
        <f t="shared" si="4"/>
        <v>-18.102000000000317</v>
      </c>
      <c r="T39" s="132">
        <f t="shared" si="20"/>
        <v>99.514274720550986</v>
      </c>
      <c r="U39" s="82">
        <f>J39-'[1]2021'!$I$38</f>
        <v>-223.83300000000008</v>
      </c>
    </row>
    <row r="40" spans="1:27" s="84" customFormat="1" ht="23.25" x14ac:dyDescent="0.25">
      <c r="A40" s="80">
        <f t="shared" ref="A40:A46" si="23">A39+1</f>
        <v>17</v>
      </c>
      <c r="B40" s="89" t="s">
        <v>56</v>
      </c>
      <c r="C40" s="81" t="s">
        <v>16</v>
      </c>
      <c r="D40" s="128">
        <v>600</v>
      </c>
      <c r="E40" s="128">
        <v>600.5</v>
      </c>
      <c r="F40" s="129">
        <f t="shared" si="7"/>
        <v>106.68299999999999</v>
      </c>
      <c r="G40" s="128">
        <v>46.207000000000001</v>
      </c>
      <c r="H40" s="128">
        <v>38.994</v>
      </c>
      <c r="I40" s="128">
        <v>5.9279999999999999</v>
      </c>
      <c r="J40" s="128">
        <v>15.554</v>
      </c>
      <c r="K40" s="130">
        <v>102.101</v>
      </c>
      <c r="L40" s="131">
        <f t="shared" si="1"/>
        <v>4.5819999999999936</v>
      </c>
      <c r="M40" s="132">
        <f t="shared" si="19"/>
        <v>104.48771314678602</v>
      </c>
      <c r="N40" s="131">
        <f t="shared" si="9"/>
        <v>200</v>
      </c>
      <c r="O40" s="131">
        <f t="shared" si="2"/>
        <v>-93.317000000000007</v>
      </c>
      <c r="P40" s="132">
        <f t="shared" si="3"/>
        <v>53.341499999999996</v>
      </c>
      <c r="Q40" s="132">
        <f t="shared" si="8"/>
        <v>17.7805</v>
      </c>
      <c r="R40" s="129">
        <v>151.83499999999998</v>
      </c>
      <c r="S40" s="131">
        <f t="shared" si="4"/>
        <v>-45.151999999999987</v>
      </c>
      <c r="T40" s="132">
        <f t="shared" si="20"/>
        <v>70.262455955477989</v>
      </c>
      <c r="U40" s="83">
        <f>100-T40</f>
        <v>29.737544044522011</v>
      </c>
    </row>
    <row r="41" spans="1:27" s="84" customFormat="1" ht="58.5" x14ac:dyDescent="0.25">
      <c r="A41" s="80">
        <f t="shared" si="23"/>
        <v>18</v>
      </c>
      <c r="B41" s="89" t="s">
        <v>105</v>
      </c>
      <c r="C41" s="81" t="s">
        <v>104</v>
      </c>
      <c r="D41" s="128">
        <v>2.6</v>
      </c>
      <c r="E41" s="128">
        <v>2.5499999999999998</v>
      </c>
      <c r="F41" s="129">
        <f t="shared" si="7"/>
        <v>0</v>
      </c>
      <c r="G41" s="128">
        <v>0</v>
      </c>
      <c r="H41" s="128">
        <v>0</v>
      </c>
      <c r="I41" s="128">
        <v>0</v>
      </c>
      <c r="J41" s="128">
        <v>0</v>
      </c>
      <c r="K41" s="130">
        <v>0</v>
      </c>
      <c r="L41" s="131">
        <f t="shared" si="1"/>
        <v>0</v>
      </c>
      <c r="M41" s="132"/>
      <c r="N41" s="131">
        <f t="shared" si="9"/>
        <v>0.8666666666666667</v>
      </c>
      <c r="O41" s="131">
        <f t="shared" si="2"/>
        <v>-0.8666666666666667</v>
      </c>
      <c r="P41" s="132"/>
      <c r="Q41" s="132">
        <f t="shared" si="8"/>
        <v>0</v>
      </c>
      <c r="R41" s="129">
        <v>0</v>
      </c>
      <c r="S41" s="131">
        <f t="shared" si="4"/>
        <v>0</v>
      </c>
      <c r="T41" s="132"/>
    </row>
    <row r="42" spans="1:27" s="84" customFormat="1" ht="23.25" x14ac:dyDescent="0.25">
      <c r="A42" s="80">
        <f t="shared" si="23"/>
        <v>19</v>
      </c>
      <c r="B42" s="114" t="s">
        <v>63</v>
      </c>
      <c r="C42" s="34" t="s">
        <v>64</v>
      </c>
      <c r="D42" s="128">
        <v>235</v>
      </c>
      <c r="E42" s="128">
        <v>70</v>
      </c>
      <c r="F42" s="129">
        <f t="shared" si="7"/>
        <v>0</v>
      </c>
      <c r="G42" s="128">
        <v>0</v>
      </c>
      <c r="H42" s="128">
        <v>0</v>
      </c>
      <c r="I42" s="128">
        <v>0</v>
      </c>
      <c r="J42" s="128">
        <v>0</v>
      </c>
      <c r="K42" s="130">
        <v>0</v>
      </c>
      <c r="L42" s="131">
        <f t="shared" si="1"/>
        <v>0</v>
      </c>
      <c r="M42" s="132"/>
      <c r="N42" s="131">
        <f t="shared" si="9"/>
        <v>78.333333333333329</v>
      </c>
      <c r="O42" s="131">
        <f t="shared" si="2"/>
        <v>-78.333333333333329</v>
      </c>
      <c r="P42" s="132">
        <f t="shared" ref="P42:P49" si="24">F42/N42*100</f>
        <v>0</v>
      </c>
      <c r="Q42" s="132">
        <f t="shared" si="8"/>
        <v>0</v>
      </c>
      <c r="R42" s="129">
        <v>0</v>
      </c>
      <c r="S42" s="131">
        <f t="shared" si="4"/>
        <v>0</v>
      </c>
      <c r="T42" s="132"/>
    </row>
    <row r="43" spans="1:27" s="84" customFormat="1" ht="23.25" x14ac:dyDescent="0.25">
      <c r="A43" s="80">
        <f t="shared" si="23"/>
        <v>20</v>
      </c>
      <c r="B43" s="89" t="s">
        <v>8</v>
      </c>
      <c r="C43" s="81" t="s">
        <v>21</v>
      </c>
      <c r="D43" s="128">
        <v>1700</v>
      </c>
      <c r="E43" s="128">
        <v>1400</v>
      </c>
      <c r="F43" s="129">
        <f t="shared" si="7"/>
        <v>433.65700000000004</v>
      </c>
      <c r="G43" s="128">
        <v>229.78800000000001</v>
      </c>
      <c r="H43" s="128">
        <v>139.07599999999999</v>
      </c>
      <c r="I43" s="128">
        <v>28.978999999999999</v>
      </c>
      <c r="J43" s="128">
        <v>35.814</v>
      </c>
      <c r="K43" s="130">
        <v>432</v>
      </c>
      <c r="L43" s="131">
        <f t="shared" si="1"/>
        <v>1.6570000000000391</v>
      </c>
      <c r="M43" s="132">
        <f>F43/K43*100</f>
        <v>100.38356481481483</v>
      </c>
      <c r="N43" s="131">
        <f t="shared" si="9"/>
        <v>566.66666666666663</v>
      </c>
      <c r="O43" s="131">
        <f t="shared" si="2"/>
        <v>-133.00966666666659</v>
      </c>
      <c r="P43" s="132">
        <f t="shared" si="24"/>
        <v>76.527705882352947</v>
      </c>
      <c r="Q43" s="132">
        <f t="shared" si="8"/>
        <v>25.509235294117648</v>
      </c>
      <c r="R43" s="129">
        <v>588.61400000000003</v>
      </c>
      <c r="S43" s="131">
        <f t="shared" si="4"/>
        <v>-154.95699999999999</v>
      </c>
      <c r="T43" s="132">
        <f>F43/R43*100</f>
        <v>73.674258512369732</v>
      </c>
      <c r="X43" s="84">
        <v>246438.04</v>
      </c>
    </row>
    <row r="44" spans="1:27" s="84" customFormat="1" ht="97.5" x14ac:dyDescent="0.25">
      <c r="A44" s="80">
        <f t="shared" si="23"/>
        <v>21</v>
      </c>
      <c r="B44" s="89" t="s">
        <v>55</v>
      </c>
      <c r="C44" s="81" t="s">
        <v>49</v>
      </c>
      <c r="D44" s="128">
        <v>1000</v>
      </c>
      <c r="E44" s="128">
        <v>1000</v>
      </c>
      <c r="F44" s="129">
        <f t="shared" si="7"/>
        <v>261.923</v>
      </c>
      <c r="G44" s="128">
        <v>162.79300000000001</v>
      </c>
      <c r="H44" s="128">
        <v>1.9590000000000001</v>
      </c>
      <c r="I44" s="128">
        <v>97.171000000000006</v>
      </c>
      <c r="J44" s="128">
        <v>0</v>
      </c>
      <c r="K44" s="130">
        <v>261.7</v>
      </c>
      <c r="L44" s="131">
        <f t="shared" si="1"/>
        <v>0.22300000000001319</v>
      </c>
      <c r="M44" s="132">
        <f>F44/K44*100</f>
        <v>100.08521207489491</v>
      </c>
      <c r="N44" s="131">
        <f t="shared" si="9"/>
        <v>333.33333333333331</v>
      </c>
      <c r="O44" s="131">
        <f t="shared" si="2"/>
        <v>-71.410333333333313</v>
      </c>
      <c r="P44" s="132">
        <f t="shared" si="24"/>
        <v>78.576900000000009</v>
      </c>
      <c r="Q44" s="132">
        <f t="shared" si="8"/>
        <v>26.192300000000003</v>
      </c>
      <c r="R44" s="129">
        <v>363.25400000000002</v>
      </c>
      <c r="S44" s="131">
        <f t="shared" si="4"/>
        <v>-101.33100000000002</v>
      </c>
      <c r="T44" s="132">
        <f>F44/R44*100</f>
        <v>72.104643032148303</v>
      </c>
    </row>
    <row r="45" spans="1:27" s="84" customFormat="1" ht="58.5" x14ac:dyDescent="0.25">
      <c r="A45" s="80">
        <f t="shared" si="23"/>
        <v>22</v>
      </c>
      <c r="B45" s="89" t="s">
        <v>133</v>
      </c>
      <c r="C45" s="81" t="s">
        <v>132</v>
      </c>
      <c r="D45" s="128">
        <v>1</v>
      </c>
      <c r="E45" s="128">
        <v>15</v>
      </c>
      <c r="F45" s="129">
        <f t="shared" si="7"/>
        <v>0</v>
      </c>
      <c r="G45" s="128">
        <v>0</v>
      </c>
      <c r="H45" s="128">
        <v>0</v>
      </c>
      <c r="I45" s="128">
        <v>0</v>
      </c>
      <c r="J45" s="128">
        <v>0</v>
      </c>
      <c r="K45" s="130">
        <v>0</v>
      </c>
      <c r="L45" s="131">
        <f t="shared" si="1"/>
        <v>0</v>
      </c>
      <c r="M45" s="132"/>
      <c r="N45" s="131">
        <f t="shared" si="9"/>
        <v>0.33333333333333331</v>
      </c>
      <c r="O45" s="131">
        <f t="shared" si="2"/>
        <v>-0.33333333333333331</v>
      </c>
      <c r="P45" s="132">
        <f t="shared" si="24"/>
        <v>0</v>
      </c>
      <c r="Q45" s="132">
        <f t="shared" si="8"/>
        <v>0</v>
      </c>
      <c r="R45" s="129">
        <v>0</v>
      </c>
      <c r="S45" s="131">
        <f t="shared" si="4"/>
        <v>0</v>
      </c>
      <c r="T45" s="132"/>
      <c r="V45" s="82">
        <f>F47-F43</f>
        <v>1310793.5660000001</v>
      </c>
      <c r="W45" s="82">
        <f>R47-R43</f>
        <v>1129357.5969999998</v>
      </c>
      <c r="X45" s="83">
        <f>V45/W45</f>
        <v>1.160654136016761</v>
      </c>
    </row>
    <row r="46" spans="1:27" s="84" customFormat="1" ht="23.25" x14ac:dyDescent="0.25">
      <c r="A46" s="80">
        <f t="shared" si="23"/>
        <v>23</v>
      </c>
      <c r="B46" s="89" t="s">
        <v>91</v>
      </c>
      <c r="C46" s="81" t="s">
        <v>90</v>
      </c>
      <c r="D46" s="128">
        <v>1</v>
      </c>
      <c r="E46" s="128">
        <v>4.4000000000000004</v>
      </c>
      <c r="F46" s="129">
        <f t="shared" si="7"/>
        <v>0</v>
      </c>
      <c r="G46" s="128">
        <v>0</v>
      </c>
      <c r="H46" s="128">
        <v>0</v>
      </c>
      <c r="I46" s="128">
        <v>0</v>
      </c>
      <c r="J46" s="128">
        <v>0</v>
      </c>
      <c r="K46" s="130">
        <v>0</v>
      </c>
      <c r="L46" s="131">
        <f t="shared" si="1"/>
        <v>0</v>
      </c>
      <c r="M46" s="132"/>
      <c r="N46" s="131">
        <f t="shared" si="9"/>
        <v>0.33333333333333331</v>
      </c>
      <c r="O46" s="131">
        <f t="shared" si="2"/>
        <v>-0.33333333333333331</v>
      </c>
      <c r="P46" s="132">
        <f t="shared" si="24"/>
        <v>0</v>
      </c>
      <c r="Q46" s="132">
        <f t="shared" si="8"/>
        <v>0</v>
      </c>
      <c r="R46" s="129">
        <v>0</v>
      </c>
      <c r="S46" s="131">
        <f t="shared" si="4"/>
        <v>0</v>
      </c>
      <c r="T46" s="132"/>
    </row>
    <row r="47" spans="1:27" s="95" customFormat="1" ht="31.5" customHeight="1" x14ac:dyDescent="0.3">
      <c r="A47" s="90"/>
      <c r="B47" s="91" t="s">
        <v>184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</f>
        <v>3751621.3889999995</v>
      </c>
      <c r="F47" s="92">
        <f>SUM(G47:J47)</f>
        <v>1311227.223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J7+J9+J10+J15+J20+J26+J27+J28+J29+J30+J31+J32+J34+J39+J40+J41+J42+J43+J44+J46+J45+J33+J19</f>
        <v>326149.27299999999</v>
      </c>
      <c r="K47" s="92">
        <f>K7+K9+K10+K15+K20+K26+K27+K28+K29+K30+K31+K32+K34+K39+K40+K41+K42+K43+K44+K46+K45+K33</f>
        <v>1282452.219</v>
      </c>
      <c r="L47" s="93">
        <f t="shared" si="1"/>
        <v>28775.003999999957</v>
      </c>
      <c r="M47" s="94">
        <f>F47/K47*100</f>
        <v>102.24374862265336</v>
      </c>
      <c r="N47" s="92">
        <f>N7+N9+N10+N15+N20+N26+N27+N28+N29+N30+N31+N32+N34+N39+N40+N41+N42+N43+N44+N46+N45+N33</f>
        <v>1463153.3283333336</v>
      </c>
      <c r="O47" s="93">
        <f t="shared" si="2"/>
        <v>-151926.1053333336</v>
      </c>
      <c r="P47" s="94">
        <f t="shared" si="24"/>
        <v>89.616528740265963</v>
      </c>
      <c r="Q47" s="94">
        <f t="shared" si="8"/>
        <v>29.872176246755334</v>
      </c>
      <c r="R47" s="92">
        <f>R7+R9+R10+R15+R20+R26+R27+R28+R29+R30+R31+R32+R34+R39+R40+R41+R42+R43+R44+R46+R45+R33</f>
        <v>1129946.2109999999</v>
      </c>
      <c r="S47" s="93">
        <f t="shared" si="4"/>
        <v>181281.0120000001</v>
      </c>
      <c r="T47" s="94">
        <f>F47/R47*100</f>
        <v>116.04333111038683</v>
      </c>
      <c r="U47" s="96">
        <v>1129946.2109999999</v>
      </c>
      <c r="V47" s="96">
        <f>U47-R47</f>
        <v>0</v>
      </c>
      <c r="Y47" s="96" t="e">
        <f>#REF!-#REF!-#REF!</f>
        <v>#REF!</v>
      </c>
      <c r="AA47" s="95">
        <v>294547.38299999997</v>
      </c>
    </row>
    <row r="48" spans="1:27" s="10" customFormat="1" ht="36.75" hidden="1" customHeight="1" x14ac:dyDescent="0.25">
      <c r="A48" s="24">
        <v>1</v>
      </c>
      <c r="B48" s="64" t="s">
        <v>134</v>
      </c>
      <c r="C48" s="25" t="s">
        <v>57</v>
      </c>
      <c r="D48" s="138">
        <v>855684.1</v>
      </c>
      <c r="E48" s="138">
        <v>717803.4</v>
      </c>
      <c r="F48" s="129">
        <f t="shared" si="7"/>
        <v>263550.8</v>
      </c>
      <c r="G48" s="128">
        <v>65887.7</v>
      </c>
      <c r="H48" s="128">
        <v>65887.7</v>
      </c>
      <c r="I48" s="128">
        <v>65887.7</v>
      </c>
      <c r="J48" s="128">
        <v>65887.7</v>
      </c>
      <c r="K48" s="128">
        <v>263550.8</v>
      </c>
      <c r="L48" s="131">
        <f t="shared" si="1"/>
        <v>0</v>
      </c>
      <c r="M48" s="132">
        <f>F48/K48*100</f>
        <v>100</v>
      </c>
      <c r="N48" s="128">
        <f>D48</f>
        <v>855684.1</v>
      </c>
      <c r="O48" s="131">
        <f t="shared" si="2"/>
        <v>-592133.30000000005</v>
      </c>
      <c r="P48" s="132">
        <f t="shared" si="24"/>
        <v>30.80001135933226</v>
      </c>
      <c r="Q48" s="132">
        <f t="shared" si="8"/>
        <v>30.80001135933226</v>
      </c>
      <c r="R48" s="129">
        <v>206801.30000000002</v>
      </c>
      <c r="S48" s="131">
        <f t="shared" si="4"/>
        <v>56749.499999999971</v>
      </c>
      <c r="T48" s="132">
        <f>F48/R48*100</f>
        <v>127.44155863623681</v>
      </c>
      <c r="U48" s="45"/>
      <c r="V48" s="45"/>
      <c r="W48" s="45"/>
      <c r="X48" s="47"/>
    </row>
    <row r="49" spans="1:24" s="10" customFormat="1" ht="39" hidden="1" x14ac:dyDescent="0.25">
      <c r="A49" s="24">
        <f>A48+1</f>
        <v>2</v>
      </c>
      <c r="B49" s="158" t="s">
        <v>135</v>
      </c>
      <c r="C49" s="161" t="s">
        <v>119</v>
      </c>
      <c r="D49" s="138">
        <v>29000</v>
      </c>
      <c r="E49" s="138">
        <v>0</v>
      </c>
      <c r="F49" s="129">
        <f t="shared" si="7"/>
        <v>9666.7999999999993</v>
      </c>
      <c r="G49" s="128">
        <v>2416.6999999999998</v>
      </c>
      <c r="H49" s="128">
        <v>2416.6999999999998</v>
      </c>
      <c r="I49" s="128">
        <v>2416.6999999999998</v>
      </c>
      <c r="J49" s="128">
        <v>2416.6999999999998</v>
      </c>
      <c r="K49" s="128">
        <v>9666.7999999999993</v>
      </c>
      <c r="L49" s="131">
        <f t="shared" si="1"/>
        <v>0</v>
      </c>
      <c r="M49" s="132">
        <f>F49/K49*100</f>
        <v>100</v>
      </c>
      <c r="N49" s="128">
        <f t="shared" ref="N49:N52" si="25">D49</f>
        <v>29000</v>
      </c>
      <c r="O49" s="131">
        <f t="shared" si="2"/>
        <v>-19333.2</v>
      </c>
      <c r="P49" s="132">
        <f t="shared" si="24"/>
        <v>33.333793103448272</v>
      </c>
      <c r="Q49" s="132">
        <f t="shared" si="8"/>
        <v>33.333793103448272</v>
      </c>
      <c r="R49" s="129">
        <v>0</v>
      </c>
      <c r="S49" s="131">
        <f t="shared" si="4"/>
        <v>9666.7999999999993</v>
      </c>
      <c r="T49" s="132"/>
      <c r="U49" s="45"/>
      <c r="V49" s="45"/>
      <c r="W49" s="45"/>
      <c r="X49" s="47"/>
    </row>
    <row r="50" spans="1:24" s="10" customFormat="1" ht="54" hidden="1" customHeight="1" x14ac:dyDescent="0.25">
      <c r="A50" s="24">
        <f t="shared" ref="A50:A52" si="26">A49+1</f>
        <v>3</v>
      </c>
      <c r="B50" s="158" t="s">
        <v>138</v>
      </c>
      <c r="C50" s="161" t="s">
        <v>128</v>
      </c>
      <c r="D50" s="138">
        <v>16764.740000000002</v>
      </c>
      <c r="E50" s="138">
        <v>11474.77</v>
      </c>
      <c r="F50" s="129">
        <f t="shared" si="7"/>
        <v>5163.5450000000001</v>
      </c>
      <c r="G50" s="128">
        <v>1290.8869999999999</v>
      </c>
      <c r="H50" s="128">
        <v>1290.886</v>
      </c>
      <c r="I50" s="128">
        <v>1290.886</v>
      </c>
      <c r="J50" s="128">
        <v>1290.886</v>
      </c>
      <c r="K50" s="130">
        <v>5163.5450000000001</v>
      </c>
      <c r="L50" s="131">
        <f t="shared" si="1"/>
        <v>0</v>
      </c>
      <c r="M50" s="132">
        <f>F50/K50*100</f>
        <v>100</v>
      </c>
      <c r="N50" s="128">
        <f t="shared" si="25"/>
        <v>16764.740000000002</v>
      </c>
      <c r="O50" s="131">
        <f t="shared" si="2"/>
        <v>-11601.195000000002</v>
      </c>
      <c r="P50" s="132">
        <f>F50/N50*100</f>
        <v>30.800030301692715</v>
      </c>
      <c r="Q50" s="132">
        <f t="shared" si="8"/>
        <v>30.800030301692715</v>
      </c>
      <c r="R50" s="129">
        <v>3305.9180000000001</v>
      </c>
      <c r="S50" s="131">
        <f t="shared" si="4"/>
        <v>1857.627</v>
      </c>
      <c r="T50" s="132">
        <f>F50/R50*100</f>
        <v>156.19095815443697</v>
      </c>
    </row>
    <row r="51" spans="1:24" s="10" customFormat="1" ht="39" hidden="1" x14ac:dyDescent="0.25">
      <c r="A51" s="24">
        <f t="shared" si="26"/>
        <v>4</v>
      </c>
      <c r="B51" s="158" t="s">
        <v>139</v>
      </c>
      <c r="C51" s="161">
        <v>41051200</v>
      </c>
      <c r="D51" s="138">
        <v>3718.5</v>
      </c>
      <c r="E51" s="138">
        <v>4100.6319999999996</v>
      </c>
      <c r="F51" s="129">
        <f t="shared" si="7"/>
        <v>774.04</v>
      </c>
      <c r="G51" s="128">
        <v>82.944999999999993</v>
      </c>
      <c r="H51" s="128">
        <v>230.36500000000001</v>
      </c>
      <c r="I51" s="128">
        <v>230.36500000000001</v>
      </c>
      <c r="J51" s="128">
        <v>230.36500000000001</v>
      </c>
      <c r="K51" s="130">
        <v>931.84</v>
      </c>
      <c r="L51" s="131">
        <f t="shared" si="1"/>
        <v>-157.80000000000007</v>
      </c>
      <c r="M51" s="132">
        <f>F51/K51*100</f>
        <v>83.065762362637358</v>
      </c>
      <c r="N51" s="128">
        <f t="shared" si="25"/>
        <v>3718.5</v>
      </c>
      <c r="O51" s="131">
        <f t="shared" si="2"/>
        <v>-2944.46</v>
      </c>
      <c r="P51" s="132">
        <f>F51/N51*100</f>
        <v>20.815920398009951</v>
      </c>
      <c r="Q51" s="132">
        <f t="shared" si="8"/>
        <v>20.815920398009951</v>
      </c>
      <c r="R51" s="129">
        <v>906.78600000000006</v>
      </c>
      <c r="S51" s="131">
        <f t="shared" si="4"/>
        <v>-132.74600000000009</v>
      </c>
      <c r="T51" s="132">
        <f>F51/R51*100</f>
        <v>85.360823832745538</v>
      </c>
    </row>
    <row r="52" spans="1:24" s="10" customFormat="1" ht="39" hidden="1" x14ac:dyDescent="0.25">
      <c r="A52" s="24">
        <f t="shared" si="26"/>
        <v>5</v>
      </c>
      <c r="B52" s="163" t="s">
        <v>161</v>
      </c>
      <c r="C52" s="161" t="s">
        <v>137</v>
      </c>
      <c r="D52" s="138">
        <v>0</v>
      </c>
      <c r="E52" s="138">
        <v>7100</v>
      </c>
      <c r="F52" s="129">
        <f t="shared" si="7"/>
        <v>0</v>
      </c>
      <c r="G52" s="128">
        <v>0</v>
      </c>
      <c r="H52" s="128">
        <v>0</v>
      </c>
      <c r="I52" s="128">
        <v>0</v>
      </c>
      <c r="J52" s="128">
        <v>0</v>
      </c>
      <c r="K52" s="130">
        <v>0</v>
      </c>
      <c r="L52" s="131">
        <f t="shared" si="1"/>
        <v>0</v>
      </c>
      <c r="M52" s="132"/>
      <c r="N52" s="128">
        <f t="shared" si="25"/>
        <v>0</v>
      </c>
      <c r="O52" s="131">
        <f t="shared" si="2"/>
        <v>0</v>
      </c>
      <c r="P52" s="132"/>
      <c r="Q52" s="132"/>
      <c r="R52" s="129">
        <v>4733.3320000000003</v>
      </c>
      <c r="S52" s="131">
        <f t="shared" si="4"/>
        <v>-4733.3320000000003</v>
      </c>
      <c r="T52" s="132"/>
      <c r="U52" s="129"/>
      <c r="V52" s="129"/>
    </row>
    <row r="53" spans="1:24" s="10" customFormat="1" ht="34.5" hidden="1" customHeight="1" x14ac:dyDescent="0.25">
      <c r="A53" s="24">
        <v>6</v>
      </c>
      <c r="B53" s="163" t="s">
        <v>136</v>
      </c>
      <c r="C53" s="161" t="s">
        <v>120</v>
      </c>
      <c r="D53" s="138">
        <f>SUM(D54:D57)</f>
        <v>4144</v>
      </c>
      <c r="E53" s="138">
        <f>SUM(E54:E57)</f>
        <v>3644</v>
      </c>
      <c r="F53" s="214">
        <f t="shared" si="7"/>
        <v>907.62700000000007</v>
      </c>
      <c r="G53" s="128">
        <f>SUM(G54:G57)</f>
        <v>0</v>
      </c>
      <c r="H53" s="128">
        <f>SUM(H54:H57)</f>
        <v>69.319000000000003</v>
      </c>
      <c r="I53" s="128">
        <f>SUM(I54:I57)</f>
        <v>2.609</v>
      </c>
      <c r="J53" s="128">
        <f>SUM(J54:J57)</f>
        <v>835.69900000000007</v>
      </c>
      <c r="K53" s="128">
        <f>SUM(K54:K57)</f>
        <v>1130.873</v>
      </c>
      <c r="L53" s="131">
        <f t="shared" si="1"/>
        <v>-223.24599999999998</v>
      </c>
      <c r="M53" s="132">
        <f t="shared" ref="M53:M57" si="27">F53/K53*100</f>
        <v>80.258968071569498</v>
      </c>
      <c r="N53" s="128">
        <f t="shared" ref="N53" si="28">K53</f>
        <v>1130.873</v>
      </c>
      <c r="O53" s="131">
        <f t="shared" si="2"/>
        <v>-223.24599999999998</v>
      </c>
      <c r="P53" s="132">
        <f t="shared" ref="P53:P57" si="29">F53/N53*100</f>
        <v>80.258968071569498</v>
      </c>
      <c r="Q53" s="132">
        <f t="shared" si="8"/>
        <v>21.902195945945948</v>
      </c>
      <c r="R53" s="129">
        <f>SUM(R54:R58)</f>
        <v>754.346</v>
      </c>
      <c r="S53" s="131">
        <f t="shared" si="4"/>
        <v>153.28100000000006</v>
      </c>
      <c r="T53" s="132">
        <f>F53/R53*100</f>
        <v>120.31972065868979</v>
      </c>
      <c r="U53" s="129">
        <v>5098.8379999999997</v>
      </c>
      <c r="V53" s="129">
        <f>U53-R53</f>
        <v>4344.4920000000002</v>
      </c>
    </row>
    <row r="54" spans="1:24" s="44" customFormat="1" ht="53.25" hidden="1" customHeight="1" x14ac:dyDescent="0.25">
      <c r="A54" s="43" t="s">
        <v>141</v>
      </c>
      <c r="B54" s="159" t="s">
        <v>162</v>
      </c>
      <c r="C54" s="113"/>
      <c r="D54" s="139">
        <v>105</v>
      </c>
      <c r="E54" s="139">
        <v>105</v>
      </c>
      <c r="F54" s="134">
        <f t="shared" si="7"/>
        <v>24.346</v>
      </c>
      <c r="G54" s="133">
        <v>0</v>
      </c>
      <c r="H54" s="133">
        <v>10.734999999999999</v>
      </c>
      <c r="I54" s="133">
        <v>2.609</v>
      </c>
      <c r="J54" s="133">
        <f>11.002</f>
        <v>11.002000000000001</v>
      </c>
      <c r="K54" s="135">
        <v>35.008000000000003</v>
      </c>
      <c r="L54" s="136">
        <f t="shared" si="1"/>
        <v>-10.662000000000003</v>
      </c>
      <c r="M54" s="137">
        <f t="shared" si="27"/>
        <v>69.544104204753197</v>
      </c>
      <c r="N54" s="133">
        <f t="shared" ref="N54:N57" si="30">D54</f>
        <v>105</v>
      </c>
      <c r="O54" s="136">
        <f t="shared" si="2"/>
        <v>-80.653999999999996</v>
      </c>
      <c r="P54" s="137">
        <f t="shared" si="29"/>
        <v>23.186666666666667</v>
      </c>
      <c r="Q54" s="137">
        <f t="shared" si="8"/>
        <v>23.186666666666667</v>
      </c>
      <c r="R54" s="134">
        <v>31.759999999999998</v>
      </c>
      <c r="S54" s="136">
        <f t="shared" si="4"/>
        <v>-7.4139999999999979</v>
      </c>
      <c r="T54" s="137">
        <f t="shared" ref="T54:T55" si="31">F54/R54*100</f>
        <v>76.656171284634766</v>
      </c>
    </row>
    <row r="55" spans="1:24" s="44" customFormat="1" ht="57.75" hidden="1" customHeight="1" x14ac:dyDescent="0.25">
      <c r="A55" s="43" t="s">
        <v>142</v>
      </c>
      <c r="B55" s="159" t="s">
        <v>163</v>
      </c>
      <c r="C55" s="113"/>
      <c r="D55" s="139">
        <v>1246.7</v>
      </c>
      <c r="E55" s="139">
        <v>1246.7</v>
      </c>
      <c r="F55" s="134">
        <f t="shared" si="7"/>
        <v>241.82400000000001</v>
      </c>
      <c r="G55" s="133">
        <v>0</v>
      </c>
      <c r="H55" s="133">
        <v>58.584000000000003</v>
      </c>
      <c r="I55" s="133">
        <v>0</v>
      </c>
      <c r="J55" s="133">
        <f>65.714+117.526</f>
        <v>183.24</v>
      </c>
      <c r="K55" s="135">
        <v>242.029</v>
      </c>
      <c r="L55" s="136">
        <f t="shared" si="1"/>
        <v>-0.20499999999998408</v>
      </c>
      <c r="M55" s="137">
        <f t="shared" si="27"/>
        <v>99.915299406269497</v>
      </c>
      <c r="N55" s="133">
        <f t="shared" si="30"/>
        <v>1246.7</v>
      </c>
      <c r="O55" s="136">
        <f t="shared" si="2"/>
        <v>-1004.876</v>
      </c>
      <c r="P55" s="137">
        <f t="shared" si="29"/>
        <v>19.397128419026231</v>
      </c>
      <c r="Q55" s="137">
        <f t="shared" si="8"/>
        <v>19.397128419026231</v>
      </c>
      <c r="R55" s="134">
        <v>242.029</v>
      </c>
      <c r="S55" s="136">
        <f t="shared" si="4"/>
        <v>-0.20499999999998408</v>
      </c>
      <c r="T55" s="137">
        <f t="shared" si="31"/>
        <v>99.915299406269497</v>
      </c>
    </row>
    <row r="56" spans="1:24" s="44" customFormat="1" ht="76.5" hidden="1" customHeight="1" x14ac:dyDescent="0.25">
      <c r="A56" s="43" t="s">
        <v>143</v>
      </c>
      <c r="B56" s="159" t="s">
        <v>164</v>
      </c>
      <c r="C56" s="113"/>
      <c r="D56" s="139">
        <v>292.3</v>
      </c>
      <c r="E56" s="139">
        <v>292.3</v>
      </c>
      <c r="F56" s="134">
        <f t="shared" si="7"/>
        <v>146.136</v>
      </c>
      <c r="G56" s="133">
        <v>0</v>
      </c>
      <c r="H56" s="133">
        <v>0</v>
      </c>
      <c r="I56" s="133">
        <v>0</v>
      </c>
      <c r="J56" s="133">
        <v>146.136</v>
      </c>
      <c r="K56" s="135">
        <v>146.136</v>
      </c>
      <c r="L56" s="136">
        <f t="shared" si="1"/>
        <v>0</v>
      </c>
      <c r="M56" s="137">
        <f t="shared" si="27"/>
        <v>100</v>
      </c>
      <c r="N56" s="133">
        <f t="shared" si="30"/>
        <v>292.3</v>
      </c>
      <c r="O56" s="136">
        <f t="shared" si="2"/>
        <v>-146.16400000000002</v>
      </c>
      <c r="P56" s="137">
        <f t="shared" si="29"/>
        <v>49.995210400273685</v>
      </c>
      <c r="Q56" s="137">
        <f t="shared" si="8"/>
        <v>49.995210400273685</v>
      </c>
      <c r="R56" s="134">
        <v>146.137</v>
      </c>
      <c r="S56" s="136">
        <f t="shared" si="4"/>
        <v>-1.0000000000047748E-3</v>
      </c>
      <c r="T56" s="137"/>
    </row>
    <row r="57" spans="1:24" s="44" customFormat="1" ht="78.75" hidden="1" customHeight="1" x14ac:dyDescent="0.25">
      <c r="A57" s="43" t="s">
        <v>144</v>
      </c>
      <c r="B57" s="159" t="s">
        <v>165</v>
      </c>
      <c r="C57" s="113"/>
      <c r="D57" s="139">
        <v>2500</v>
      </c>
      <c r="E57" s="139">
        <v>2000</v>
      </c>
      <c r="F57" s="134">
        <f t="shared" si="7"/>
        <v>495.32100000000003</v>
      </c>
      <c r="G57" s="133">
        <v>0</v>
      </c>
      <c r="H57" s="133">
        <v>0</v>
      </c>
      <c r="I57" s="133">
        <v>0</v>
      </c>
      <c r="J57" s="133">
        <v>495.32100000000003</v>
      </c>
      <c r="K57" s="135">
        <v>707.7</v>
      </c>
      <c r="L57" s="136">
        <f t="shared" si="1"/>
        <v>-212.37900000000002</v>
      </c>
      <c r="M57" s="137">
        <f t="shared" si="27"/>
        <v>69.990250105977097</v>
      </c>
      <c r="N57" s="133">
        <f t="shared" si="30"/>
        <v>2500</v>
      </c>
      <c r="O57" s="136">
        <f t="shared" si="2"/>
        <v>-2004.6790000000001</v>
      </c>
      <c r="P57" s="137">
        <f t="shared" si="29"/>
        <v>19.812840000000001</v>
      </c>
      <c r="Q57" s="137">
        <f t="shared" si="8"/>
        <v>19.812840000000001</v>
      </c>
      <c r="R57" s="134">
        <v>0</v>
      </c>
      <c r="S57" s="136">
        <f t="shared" si="4"/>
        <v>495.32100000000003</v>
      </c>
      <c r="T57" s="137"/>
    </row>
    <row r="58" spans="1:24" s="44" customFormat="1" ht="39.75" hidden="1" x14ac:dyDescent="0.25">
      <c r="A58" s="43" t="s">
        <v>208</v>
      </c>
      <c r="B58" s="159" t="s">
        <v>222</v>
      </c>
      <c r="C58" s="113"/>
      <c r="D58" s="139"/>
      <c r="E58" s="139"/>
      <c r="F58" s="134">
        <f t="shared" si="7"/>
        <v>0</v>
      </c>
      <c r="G58" s="133">
        <v>0</v>
      </c>
      <c r="H58" s="133">
        <v>0</v>
      </c>
      <c r="I58" s="133">
        <v>0</v>
      </c>
      <c r="J58" s="133">
        <v>0</v>
      </c>
      <c r="K58" s="135">
        <v>0</v>
      </c>
      <c r="L58" s="136">
        <f t="shared" si="1"/>
        <v>0</v>
      </c>
      <c r="M58" s="137"/>
      <c r="N58" s="133"/>
      <c r="O58" s="136">
        <f t="shared" si="2"/>
        <v>0</v>
      </c>
      <c r="P58" s="137"/>
      <c r="Q58" s="137"/>
      <c r="R58" s="134">
        <v>334.42</v>
      </c>
      <c r="S58" s="136">
        <f t="shared" si="4"/>
        <v>-334.42</v>
      </c>
      <c r="T58" s="137"/>
    </row>
    <row r="59" spans="1:24" s="51" customFormat="1" ht="32.25" hidden="1" customHeight="1" x14ac:dyDescent="0.3">
      <c r="A59" s="48"/>
      <c r="B59" s="52" t="s">
        <v>226</v>
      </c>
      <c r="C59" s="49"/>
      <c r="D59" s="50">
        <f>D62+D61</f>
        <v>909311.34</v>
      </c>
      <c r="E59" s="50" t="e">
        <f>E62+E61</f>
        <v>#REF!</v>
      </c>
      <c r="F59" s="50">
        <f t="shared" si="7"/>
        <v>280062.81199999998</v>
      </c>
      <c r="G59" s="50">
        <f>G62+G61</f>
        <v>69678.231999999989</v>
      </c>
      <c r="H59" s="50">
        <f>H62+H61</f>
        <v>69894.97</v>
      </c>
      <c r="I59" s="50">
        <f>I62+I61</f>
        <v>69828.259999999995</v>
      </c>
      <c r="J59" s="50">
        <f>J62+J61</f>
        <v>70661.349999999991</v>
      </c>
      <c r="K59" s="50">
        <f>K62+K61</f>
        <v>280443.85799999995</v>
      </c>
      <c r="L59" s="93">
        <f>F59-K59</f>
        <v>-381.04599999997299</v>
      </c>
      <c r="M59" s="94">
        <f>F59/K59*100</f>
        <v>99.864127528868906</v>
      </c>
      <c r="N59" s="50">
        <f>N62+N61</f>
        <v>906298.21299999999</v>
      </c>
      <c r="O59" s="93">
        <f>F59-N59</f>
        <v>-626235.40100000007</v>
      </c>
      <c r="P59" s="94">
        <f>F59/N59*100</f>
        <v>30.901838708579689</v>
      </c>
      <c r="Q59" s="94">
        <f t="shared" si="8"/>
        <v>30.799441256280822</v>
      </c>
      <c r="R59" s="50">
        <f>R62+R61</f>
        <v>216501.68200000003</v>
      </c>
      <c r="S59" s="93">
        <f>F59-R59</f>
        <v>63561.129999999946</v>
      </c>
      <c r="T59" s="94">
        <f>F59/R59*100</f>
        <v>129.35826152149707</v>
      </c>
    </row>
    <row r="60" spans="1:24" s="13" customFormat="1" ht="23.25" hidden="1" x14ac:dyDescent="0.25">
      <c r="A60" s="12"/>
      <c r="B60" s="197" t="s">
        <v>106</v>
      </c>
      <c r="C60" s="11"/>
      <c r="D60" s="140"/>
      <c r="E60" s="140"/>
      <c r="F60" s="141"/>
      <c r="G60" s="140"/>
      <c r="H60" s="140"/>
      <c r="I60" s="140"/>
      <c r="J60" s="140"/>
      <c r="K60" s="140"/>
      <c r="L60" s="131"/>
      <c r="M60" s="132"/>
      <c r="N60" s="140"/>
      <c r="O60" s="98"/>
      <c r="P60" s="99"/>
      <c r="Q60" s="99"/>
      <c r="R60" s="141"/>
      <c r="S60" s="98"/>
      <c r="T60" s="99"/>
    </row>
    <row r="61" spans="1:24" s="13" customFormat="1" ht="39" hidden="1" customHeight="1" x14ac:dyDescent="0.25">
      <c r="A61" s="12"/>
      <c r="B61" s="213" t="s">
        <v>121</v>
      </c>
      <c r="C61" s="26"/>
      <c r="D61" s="59">
        <f>D49</f>
        <v>29000</v>
      </c>
      <c r="E61" s="59">
        <f>E49</f>
        <v>0</v>
      </c>
      <c r="F61" s="50">
        <f t="shared" si="7"/>
        <v>9666.7999999999993</v>
      </c>
      <c r="G61" s="59">
        <f>G49</f>
        <v>2416.6999999999998</v>
      </c>
      <c r="H61" s="59">
        <f>H49</f>
        <v>2416.6999999999998</v>
      </c>
      <c r="I61" s="59">
        <f>I49</f>
        <v>2416.6999999999998</v>
      </c>
      <c r="J61" s="59">
        <f>J49</f>
        <v>2416.6999999999998</v>
      </c>
      <c r="K61" s="59">
        <f>K49</f>
        <v>9666.7999999999993</v>
      </c>
      <c r="L61" s="98">
        <f>F61-K61</f>
        <v>0</v>
      </c>
      <c r="M61" s="99">
        <f>F61/K61*100</f>
        <v>100</v>
      </c>
      <c r="N61" s="59">
        <f>N49</f>
        <v>29000</v>
      </c>
      <c r="O61" s="98">
        <f>F61-N61</f>
        <v>-19333.2</v>
      </c>
      <c r="P61" s="99">
        <f>F61/N61*100</f>
        <v>33.333793103448272</v>
      </c>
      <c r="Q61" s="99">
        <f t="shared" si="8"/>
        <v>33.333793103448272</v>
      </c>
      <c r="R61" s="50">
        <f>R49</f>
        <v>0</v>
      </c>
      <c r="S61" s="98">
        <f>F61-R61</f>
        <v>9666.7999999999993</v>
      </c>
      <c r="T61" s="99"/>
    </row>
    <row r="62" spans="1:24" s="13" customFormat="1" ht="39" hidden="1" customHeight="1" x14ac:dyDescent="0.25">
      <c r="A62" s="12"/>
      <c r="B62" s="213" t="s">
        <v>78</v>
      </c>
      <c r="C62" s="26"/>
      <c r="D62" s="59">
        <f>D63+D64</f>
        <v>880311.34</v>
      </c>
      <c r="E62" s="59" t="e">
        <f>E63+E64</f>
        <v>#REF!</v>
      </c>
      <c r="F62" s="50">
        <f t="shared" si="7"/>
        <v>270396.01199999999</v>
      </c>
      <c r="G62" s="59">
        <f>G63+G64</f>
        <v>67261.531999999992</v>
      </c>
      <c r="H62" s="59">
        <f>H63+H64</f>
        <v>67478.27</v>
      </c>
      <c r="I62" s="59">
        <f>I63+I64</f>
        <v>67411.56</v>
      </c>
      <c r="J62" s="59">
        <f>J63+J64</f>
        <v>68244.649999999994</v>
      </c>
      <c r="K62" s="59">
        <f>K63+K64</f>
        <v>270777.05799999996</v>
      </c>
      <c r="L62" s="98">
        <f>F62-K62</f>
        <v>-381.04599999997299</v>
      </c>
      <c r="M62" s="99">
        <f>F62/K62*100</f>
        <v>99.859276852029339</v>
      </c>
      <c r="N62" s="59">
        <f>N63+N64</f>
        <v>877298.21299999999</v>
      </c>
      <c r="O62" s="98">
        <f>F62-N62</f>
        <v>-606902.201</v>
      </c>
      <c r="P62" s="99">
        <f>F62/N62*100</f>
        <v>30.821447940188612</v>
      </c>
      <c r="Q62" s="99">
        <f t="shared" si="8"/>
        <v>30.715952381120072</v>
      </c>
      <c r="R62" s="50">
        <f>R63+R64</f>
        <v>216501.68200000003</v>
      </c>
      <c r="S62" s="98">
        <f>F62-R62</f>
        <v>53894.329999999958</v>
      </c>
      <c r="T62" s="99">
        <f>F62/R62*100</f>
        <v>124.89326156828655</v>
      </c>
    </row>
    <row r="63" spans="1:24" s="8" customFormat="1" ht="39" hidden="1" customHeight="1" x14ac:dyDescent="0.25">
      <c r="A63" s="14"/>
      <c r="B63" s="17" t="s">
        <v>110</v>
      </c>
      <c r="C63" s="17"/>
      <c r="D63" s="139">
        <f>D48</f>
        <v>855684.1</v>
      </c>
      <c r="E63" s="139" t="e">
        <f>E48+#REF!</f>
        <v>#REF!</v>
      </c>
      <c r="F63" s="142">
        <f t="shared" si="7"/>
        <v>263550.8</v>
      </c>
      <c r="G63" s="139">
        <f>G48</f>
        <v>65887.7</v>
      </c>
      <c r="H63" s="139">
        <f>H48</f>
        <v>65887.7</v>
      </c>
      <c r="I63" s="139">
        <f>I48</f>
        <v>65887.7</v>
      </c>
      <c r="J63" s="139">
        <f>J48</f>
        <v>65887.7</v>
      </c>
      <c r="K63" s="139">
        <f>K48</f>
        <v>263550.8</v>
      </c>
      <c r="L63" s="136">
        <f>F63-K63</f>
        <v>0</v>
      </c>
      <c r="M63" s="137">
        <f>F63/K63*100</f>
        <v>100</v>
      </c>
      <c r="N63" s="139">
        <f>N48</f>
        <v>855684.1</v>
      </c>
      <c r="O63" s="136">
        <f>F63-N63</f>
        <v>-592133.30000000005</v>
      </c>
      <c r="P63" s="137">
        <f>F63/N63*100</f>
        <v>30.80001135933226</v>
      </c>
      <c r="Q63" s="137">
        <f t="shared" si="8"/>
        <v>30.80001135933226</v>
      </c>
      <c r="R63" s="142">
        <f>R48</f>
        <v>206801.30000000002</v>
      </c>
      <c r="S63" s="136">
        <f>F63-R63</f>
        <v>56749.499999999971</v>
      </c>
      <c r="T63" s="137">
        <f>F63/R63*100</f>
        <v>127.44155863623681</v>
      </c>
    </row>
    <row r="64" spans="1:24" s="8" customFormat="1" ht="39" hidden="1" customHeight="1" x14ac:dyDescent="0.25">
      <c r="A64" s="14"/>
      <c r="B64" s="198" t="s">
        <v>109</v>
      </c>
      <c r="C64" s="17"/>
      <c r="D64" s="139">
        <f>D50+D53+D51+D52</f>
        <v>24627.24</v>
      </c>
      <c r="E64" s="139">
        <f>E50+E53+E51+E52</f>
        <v>26319.402000000002</v>
      </c>
      <c r="F64" s="142">
        <f t="shared" si="7"/>
        <v>6845.2119999999995</v>
      </c>
      <c r="G64" s="139">
        <f>G50+G53+G51+G52</f>
        <v>1373.8319999999999</v>
      </c>
      <c r="H64" s="139">
        <f>H50+H53+H51+H52</f>
        <v>1590.57</v>
      </c>
      <c r="I64" s="139">
        <f>I50+I53+I51+I52</f>
        <v>1523.86</v>
      </c>
      <c r="J64" s="139">
        <f>J50+J53+J51+J52</f>
        <v>2356.9499999999998</v>
      </c>
      <c r="K64" s="139">
        <f>K50+K53+K51+K52</f>
        <v>7226.2579999999998</v>
      </c>
      <c r="L64" s="136">
        <f>F64-K64</f>
        <v>-381.04600000000028</v>
      </c>
      <c r="M64" s="137">
        <f>F64/K64*100</f>
        <v>94.726925055817262</v>
      </c>
      <c r="N64" s="139">
        <f>N50+N53+N51+N52</f>
        <v>21614.113000000001</v>
      </c>
      <c r="O64" s="136">
        <f>F64-N64</f>
        <v>-14768.901000000002</v>
      </c>
      <c r="P64" s="137">
        <f>F64/N64*100</f>
        <v>31.67010369567328</v>
      </c>
      <c r="Q64" s="137">
        <f t="shared" si="8"/>
        <v>27.795286844973287</v>
      </c>
      <c r="R64" s="142">
        <f>R50+R53+R51+R52</f>
        <v>9700.3820000000014</v>
      </c>
      <c r="S64" s="136">
        <f>F64-R64</f>
        <v>-2855.1700000000019</v>
      </c>
      <c r="T64" s="137">
        <f>F64/R64*100</f>
        <v>70.566416868943904</v>
      </c>
    </row>
    <row r="65" spans="1:25" s="8" customFormat="1" ht="23.25" hidden="1" x14ac:dyDescent="0.25">
      <c r="A65" s="14"/>
      <c r="B65" s="46"/>
      <c r="C65" s="17"/>
      <c r="D65" s="139"/>
      <c r="E65" s="139"/>
      <c r="F65" s="142"/>
      <c r="G65" s="139"/>
      <c r="H65" s="139"/>
      <c r="I65" s="139"/>
      <c r="J65" s="139"/>
      <c r="K65" s="139"/>
      <c r="L65" s="136"/>
      <c r="M65" s="137"/>
      <c r="N65" s="139"/>
      <c r="O65" s="136"/>
      <c r="P65" s="137"/>
      <c r="Q65" s="137"/>
      <c r="R65" s="142"/>
      <c r="S65" s="136"/>
      <c r="T65" s="137"/>
    </row>
    <row r="66" spans="1:25" s="174" customFormat="1" ht="36.75" hidden="1" customHeight="1" x14ac:dyDescent="0.3">
      <c r="A66" s="167"/>
      <c r="B66" s="168" t="s">
        <v>30</v>
      </c>
      <c r="C66" s="169"/>
      <c r="D66" s="170">
        <f>D59+D47</f>
        <v>5298771.3249999993</v>
      </c>
      <c r="E66" s="170" t="e">
        <f>E59+E47</f>
        <v>#REF!</v>
      </c>
      <c r="F66" s="170">
        <f t="shared" si="7"/>
        <v>1591290.0349999999</v>
      </c>
      <c r="G66" s="170">
        <f>G59+G47</f>
        <v>373217.95900000003</v>
      </c>
      <c r="H66" s="170">
        <f>H59+H47</f>
        <v>452498.94200000004</v>
      </c>
      <c r="I66" s="170">
        <f>I59+I47</f>
        <v>368762.511</v>
      </c>
      <c r="J66" s="170">
        <f>J59+J47</f>
        <v>396810.62299999996</v>
      </c>
      <c r="K66" s="170">
        <f>K59+K47</f>
        <v>1562896.077</v>
      </c>
      <c r="L66" s="171">
        <f>F66-K66</f>
        <v>28393.957999999868</v>
      </c>
      <c r="M66" s="172">
        <f>F66/K66*100</f>
        <v>101.81675278464468</v>
      </c>
      <c r="N66" s="170">
        <f>N59+N47</f>
        <v>2369451.5413333336</v>
      </c>
      <c r="O66" s="171">
        <f>F66-N66</f>
        <v>-778161.50633333367</v>
      </c>
      <c r="P66" s="172">
        <f>F66/N66*100</f>
        <v>67.158581099512674</v>
      </c>
      <c r="Q66" s="172">
        <f t="shared" si="8"/>
        <v>30.031302303841166</v>
      </c>
      <c r="R66" s="170">
        <f>R59+R47</f>
        <v>1346447.8929999999</v>
      </c>
      <c r="S66" s="171">
        <f>F66-R66</f>
        <v>244842.14199999999</v>
      </c>
      <c r="T66" s="172">
        <f>F66/R66*100</f>
        <v>118.18430132149199</v>
      </c>
      <c r="U66" s="170">
        <v>1346447.8929999999</v>
      </c>
      <c r="V66" s="173">
        <f>U66-R66</f>
        <v>0</v>
      </c>
      <c r="Y66" s="173">
        <f>2708373.649-K66</f>
        <v>1145477.5720000002</v>
      </c>
    </row>
    <row r="67" spans="1:25" s="10" customFormat="1" ht="31.5" hidden="1" customHeight="1" x14ac:dyDescent="0.25">
      <c r="A67" s="227" t="s">
        <v>10</v>
      </c>
      <c r="B67" s="227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</row>
    <row r="68" spans="1:25" s="65" customFormat="1" ht="28.5" hidden="1" customHeight="1" x14ac:dyDescent="0.3">
      <c r="A68" s="24">
        <v>1</v>
      </c>
      <c r="B68" s="64" t="s">
        <v>13</v>
      </c>
      <c r="C68" s="25" t="s">
        <v>22</v>
      </c>
      <c r="D68" s="138">
        <f>D69+D70</f>
        <v>94437.012000000002</v>
      </c>
      <c r="E68" s="138">
        <f t="shared" ref="E68:E112" si="32">D68</f>
        <v>94437.012000000002</v>
      </c>
      <c r="F68" s="129">
        <f t="shared" ref="F68:F112" si="33">SUM(G68:J68)</f>
        <v>29057.025000000001</v>
      </c>
      <c r="G68" s="128">
        <f t="shared" ref="G68:K68" si="34">G69+G70</f>
        <v>6860.3910000000005</v>
      </c>
      <c r="H68" s="128">
        <f t="shared" si="34"/>
        <v>7771.8059999999996</v>
      </c>
      <c r="I68" s="128">
        <f t="shared" si="34"/>
        <v>11164.861000000001</v>
      </c>
      <c r="J68" s="128">
        <f t="shared" si="34"/>
        <v>3259.9669999999996</v>
      </c>
      <c r="K68" s="130">
        <f t="shared" si="34"/>
        <v>31479.004000000001</v>
      </c>
      <c r="L68" s="131">
        <f t="shared" ref="L68:L83" si="35">F68-K68</f>
        <v>-2421.9789999999994</v>
      </c>
      <c r="M68" s="132">
        <f>F68/K68*100</f>
        <v>92.306049454423658</v>
      </c>
      <c r="N68" s="131">
        <f t="shared" ref="N68" si="36">N69+N70</f>
        <v>31479.004000000001</v>
      </c>
      <c r="O68" s="131">
        <f t="shared" ref="O68:O83" si="37">F68-N68</f>
        <v>-2421.9789999999994</v>
      </c>
      <c r="P68" s="132">
        <f>F68/N68*100</f>
        <v>92.306049454423658</v>
      </c>
      <c r="Q68" s="132">
        <f t="shared" si="8"/>
        <v>30.768683151474551</v>
      </c>
      <c r="R68" s="129">
        <f t="shared" ref="R68" si="38">R69+R70</f>
        <v>24160.834000000003</v>
      </c>
      <c r="S68" s="131">
        <f t="shared" ref="S68:S83" si="39">F68-R68</f>
        <v>4896.1909999999989</v>
      </c>
      <c r="T68" s="132">
        <f>F68/R68*100</f>
        <v>120.26499168033686</v>
      </c>
    </row>
    <row r="69" spans="1:25" s="68" customFormat="1" ht="41.25" hidden="1" customHeight="1" x14ac:dyDescent="0.3">
      <c r="A69" s="43" t="s">
        <v>126</v>
      </c>
      <c r="B69" s="111" t="s">
        <v>122</v>
      </c>
      <c r="C69" s="17" t="s">
        <v>123</v>
      </c>
      <c r="D69" s="139">
        <v>94437.012000000002</v>
      </c>
      <c r="E69" s="139">
        <v>70446.198000000004</v>
      </c>
      <c r="F69" s="134">
        <f t="shared" si="33"/>
        <v>16915.187999999998</v>
      </c>
      <c r="G69" s="133">
        <v>5377.3590000000004</v>
      </c>
      <c r="H69" s="133">
        <v>6381.8329999999996</v>
      </c>
      <c r="I69" s="133">
        <v>2956.0810000000001</v>
      </c>
      <c r="J69" s="133">
        <v>2199.915</v>
      </c>
      <c r="K69" s="135">
        <v>31479.004000000001</v>
      </c>
      <c r="L69" s="136">
        <f t="shared" si="35"/>
        <v>-14563.816000000003</v>
      </c>
      <c r="M69" s="137">
        <f>F69/K69*100</f>
        <v>53.734825917617968</v>
      </c>
      <c r="N69" s="136">
        <f>D69/12*4</f>
        <v>31479.004000000001</v>
      </c>
      <c r="O69" s="136">
        <f t="shared" si="37"/>
        <v>-14563.816000000003</v>
      </c>
      <c r="P69" s="137">
        <f>F69/N69*100</f>
        <v>53.734825917617968</v>
      </c>
      <c r="Q69" s="137">
        <f t="shared" si="8"/>
        <v>17.911608639205991</v>
      </c>
      <c r="R69" s="134">
        <v>20274.467000000001</v>
      </c>
      <c r="S69" s="136">
        <f t="shared" si="39"/>
        <v>-3359.2790000000023</v>
      </c>
      <c r="T69" s="137">
        <f>F69/R69*100</f>
        <v>83.430987359618371</v>
      </c>
    </row>
    <row r="70" spans="1:25" s="68" customFormat="1" ht="38.25" hidden="1" customHeight="1" x14ac:dyDescent="0.3">
      <c r="A70" s="43" t="s">
        <v>127</v>
      </c>
      <c r="B70" s="111" t="s">
        <v>124</v>
      </c>
      <c r="C70" s="17" t="s">
        <v>125</v>
      </c>
      <c r="D70" s="139">
        <v>0</v>
      </c>
      <c r="E70" s="139">
        <v>0</v>
      </c>
      <c r="F70" s="134">
        <f t="shared" si="33"/>
        <v>12141.837</v>
      </c>
      <c r="G70" s="133">
        <v>1483.0319999999999</v>
      </c>
      <c r="H70" s="133">
        <v>1389.973</v>
      </c>
      <c r="I70" s="133">
        <v>8208.7800000000007</v>
      </c>
      <c r="J70" s="133">
        <v>1060.0519999999999</v>
      </c>
      <c r="K70" s="135">
        <v>0</v>
      </c>
      <c r="L70" s="136">
        <f t="shared" si="35"/>
        <v>12141.837</v>
      </c>
      <c r="M70" s="137"/>
      <c r="N70" s="136"/>
      <c r="O70" s="136">
        <f t="shared" si="37"/>
        <v>12141.837</v>
      </c>
      <c r="P70" s="137"/>
      <c r="Q70" s="137"/>
      <c r="R70" s="134">
        <v>3886.3670000000002</v>
      </c>
      <c r="S70" s="136">
        <f t="shared" si="39"/>
        <v>8255.4699999999993</v>
      </c>
      <c r="T70" s="137">
        <f>F70/R70*100</f>
        <v>312.42126644241262</v>
      </c>
    </row>
    <row r="71" spans="1:25" s="65" customFormat="1" ht="47.25" hidden="1" customHeight="1" x14ac:dyDescent="0.3">
      <c r="A71" s="24">
        <v>2</v>
      </c>
      <c r="B71" s="126" t="s">
        <v>200</v>
      </c>
      <c r="C71" s="25" t="s">
        <v>198</v>
      </c>
      <c r="D71" s="138"/>
      <c r="E71" s="138"/>
      <c r="F71" s="129">
        <f t="shared" si="33"/>
        <v>38.006</v>
      </c>
      <c r="G71" s="128">
        <v>0</v>
      </c>
      <c r="H71" s="128">
        <v>38.006</v>
      </c>
      <c r="I71" s="128">
        <v>0</v>
      </c>
      <c r="J71" s="128">
        <v>0</v>
      </c>
      <c r="K71" s="130">
        <v>0</v>
      </c>
      <c r="L71" s="131"/>
      <c r="M71" s="132"/>
      <c r="N71" s="131"/>
      <c r="O71" s="131">
        <f t="shared" si="37"/>
        <v>38.006</v>
      </c>
      <c r="P71" s="132"/>
      <c r="Q71" s="132"/>
      <c r="R71" s="129">
        <v>0</v>
      </c>
      <c r="S71" s="131">
        <f t="shared" si="39"/>
        <v>38.006</v>
      </c>
      <c r="T71" s="132"/>
    </row>
    <row r="72" spans="1:25" s="65" customFormat="1" ht="33.75" hidden="1" customHeight="1" x14ac:dyDescent="0.3">
      <c r="A72" s="24">
        <v>3</v>
      </c>
      <c r="B72" s="126" t="s">
        <v>34</v>
      </c>
      <c r="C72" s="25" t="s">
        <v>33</v>
      </c>
      <c r="D72" s="138">
        <v>2313.6999999999998</v>
      </c>
      <c r="E72" s="138">
        <v>2267.6</v>
      </c>
      <c r="F72" s="129">
        <f t="shared" si="33"/>
        <v>670.5150000000001</v>
      </c>
      <c r="G72" s="128">
        <v>12.451000000000001</v>
      </c>
      <c r="H72" s="128">
        <v>361.55099999999999</v>
      </c>
      <c r="I72" s="128">
        <v>86.131</v>
      </c>
      <c r="J72" s="128">
        <v>210.38200000000001</v>
      </c>
      <c r="K72" s="130">
        <v>580.82500000000005</v>
      </c>
      <c r="L72" s="131">
        <f t="shared" si="35"/>
        <v>89.690000000000055</v>
      </c>
      <c r="M72" s="132">
        <f>F72/K72*100</f>
        <v>115.44182843369346</v>
      </c>
      <c r="N72" s="131">
        <f>D72/12*4</f>
        <v>771.23333333333323</v>
      </c>
      <c r="O72" s="131">
        <f t="shared" si="37"/>
        <v>-100.71833333333313</v>
      </c>
      <c r="P72" s="132">
        <f t="shared" ref="P72:P78" si="40">F72/N72*100</f>
        <v>86.940614599991378</v>
      </c>
      <c r="Q72" s="132">
        <f t="shared" si="8"/>
        <v>28.980204866663794</v>
      </c>
      <c r="R72" s="129">
        <v>565.07299999999998</v>
      </c>
      <c r="S72" s="131">
        <f t="shared" si="39"/>
        <v>105.44200000000012</v>
      </c>
      <c r="T72" s="132">
        <f>F72/R72*100</f>
        <v>118.65988996112009</v>
      </c>
    </row>
    <row r="73" spans="1:25" s="65" customFormat="1" ht="47.25" hidden="1" customHeight="1" x14ac:dyDescent="0.3">
      <c r="A73" s="24">
        <v>4</v>
      </c>
      <c r="B73" s="126" t="s">
        <v>201</v>
      </c>
      <c r="C73" s="25" t="s">
        <v>199</v>
      </c>
      <c r="D73" s="138"/>
      <c r="E73" s="138"/>
      <c r="F73" s="129">
        <f t="shared" si="33"/>
        <v>0.46499999999999997</v>
      </c>
      <c r="G73" s="128">
        <v>0</v>
      </c>
      <c r="H73" s="128">
        <v>0.36</v>
      </c>
      <c r="I73" s="128">
        <v>0.105</v>
      </c>
      <c r="J73" s="128">
        <v>0</v>
      </c>
      <c r="K73" s="130">
        <v>0</v>
      </c>
      <c r="L73" s="131">
        <f t="shared" si="35"/>
        <v>0.46499999999999997</v>
      </c>
      <c r="M73" s="132"/>
      <c r="N73" s="131"/>
      <c r="O73" s="131">
        <f t="shared" si="37"/>
        <v>0.46499999999999997</v>
      </c>
      <c r="P73" s="132"/>
      <c r="Q73" s="132"/>
      <c r="R73" s="129">
        <v>0</v>
      </c>
      <c r="S73" s="131">
        <f t="shared" si="39"/>
        <v>0.46499999999999997</v>
      </c>
      <c r="T73" s="132"/>
    </row>
    <row r="74" spans="1:25" s="65" customFormat="1" ht="39" hidden="1" x14ac:dyDescent="0.3">
      <c r="A74" s="24">
        <v>5</v>
      </c>
      <c r="B74" s="126" t="s">
        <v>92</v>
      </c>
      <c r="C74" s="25">
        <v>21110000</v>
      </c>
      <c r="D74" s="138">
        <v>110</v>
      </c>
      <c r="E74" s="138">
        <v>160</v>
      </c>
      <c r="F74" s="129">
        <f t="shared" si="33"/>
        <v>0</v>
      </c>
      <c r="G74" s="128">
        <v>0</v>
      </c>
      <c r="H74" s="128">
        <v>0</v>
      </c>
      <c r="I74" s="128">
        <v>0</v>
      </c>
      <c r="J74" s="128">
        <v>0</v>
      </c>
      <c r="K74" s="130">
        <v>0</v>
      </c>
      <c r="L74" s="131">
        <f t="shared" si="35"/>
        <v>0</v>
      </c>
      <c r="M74" s="132"/>
      <c r="N74" s="131">
        <f t="shared" ref="N74:N75" si="41">D74/12*4</f>
        <v>36.666666666666664</v>
      </c>
      <c r="O74" s="131">
        <f t="shared" si="37"/>
        <v>-36.666666666666664</v>
      </c>
      <c r="P74" s="132">
        <f t="shared" si="40"/>
        <v>0</v>
      </c>
      <c r="Q74" s="132">
        <f t="shared" si="8"/>
        <v>0</v>
      </c>
      <c r="R74" s="129">
        <v>13.731999999999999</v>
      </c>
      <c r="S74" s="131">
        <f t="shared" si="39"/>
        <v>-13.731999999999999</v>
      </c>
      <c r="T74" s="132"/>
    </row>
    <row r="75" spans="1:25" s="65" customFormat="1" ht="39" hidden="1" x14ac:dyDescent="0.3">
      <c r="A75" s="24">
        <f t="shared" ref="A75:A77" si="42">A74+1</f>
        <v>6</v>
      </c>
      <c r="B75" s="64" t="s">
        <v>27</v>
      </c>
      <c r="C75" s="25" t="s">
        <v>26</v>
      </c>
      <c r="D75" s="138">
        <v>20</v>
      </c>
      <c r="E75" s="138">
        <v>15.7</v>
      </c>
      <c r="F75" s="129">
        <f t="shared" si="33"/>
        <v>14.063000000000001</v>
      </c>
      <c r="G75" s="128">
        <v>11.72</v>
      </c>
      <c r="H75" s="128">
        <v>2.343</v>
      </c>
      <c r="I75" s="128">
        <v>0</v>
      </c>
      <c r="J75" s="128">
        <v>0</v>
      </c>
      <c r="K75" s="130">
        <v>14.061999999999999</v>
      </c>
      <c r="L75" s="131">
        <f t="shared" si="35"/>
        <v>1.0000000000012221E-3</v>
      </c>
      <c r="M75" s="132">
        <f>F75/K75*100</f>
        <v>100.00711136395961</v>
      </c>
      <c r="N75" s="131">
        <f t="shared" si="41"/>
        <v>6.666666666666667</v>
      </c>
      <c r="O75" s="131">
        <f t="shared" si="37"/>
        <v>7.3963333333333336</v>
      </c>
      <c r="P75" s="132">
        <f t="shared" si="40"/>
        <v>210.94499999999999</v>
      </c>
      <c r="Q75" s="132">
        <f t="shared" ref="Q75:Q112" si="43">F75/D75*100</f>
        <v>70.315000000000012</v>
      </c>
      <c r="R75" s="129">
        <v>134.029</v>
      </c>
      <c r="S75" s="131">
        <f t="shared" si="39"/>
        <v>-119.96599999999999</v>
      </c>
      <c r="T75" s="132">
        <f>F75/R75*100</f>
        <v>10.492505353319057</v>
      </c>
    </row>
    <row r="76" spans="1:25" s="65" customFormat="1" ht="39" hidden="1" x14ac:dyDescent="0.3">
      <c r="A76" s="24">
        <f t="shared" si="42"/>
        <v>7</v>
      </c>
      <c r="B76" s="64" t="s">
        <v>71</v>
      </c>
      <c r="C76" s="25" t="s">
        <v>72</v>
      </c>
      <c r="D76" s="138">
        <v>0</v>
      </c>
      <c r="E76" s="138">
        <v>0.4</v>
      </c>
      <c r="F76" s="129">
        <f t="shared" si="33"/>
        <v>0</v>
      </c>
      <c r="G76" s="128">
        <v>0</v>
      </c>
      <c r="H76" s="128">
        <v>0</v>
      </c>
      <c r="I76" s="128">
        <v>0</v>
      </c>
      <c r="J76" s="128">
        <v>0</v>
      </c>
      <c r="K76" s="130">
        <v>0</v>
      </c>
      <c r="L76" s="131">
        <f t="shared" si="35"/>
        <v>0</v>
      </c>
      <c r="M76" s="132"/>
      <c r="N76" s="131"/>
      <c r="O76" s="131">
        <f t="shared" si="37"/>
        <v>0</v>
      </c>
      <c r="P76" s="132"/>
      <c r="Q76" s="132"/>
      <c r="R76" s="129">
        <v>9.1000000000000011E-2</v>
      </c>
      <c r="S76" s="131">
        <f t="shared" si="39"/>
        <v>-9.1000000000000011E-2</v>
      </c>
      <c r="T76" s="132"/>
    </row>
    <row r="77" spans="1:25" s="32" customFormat="1" ht="41.25" hidden="1" customHeight="1" x14ac:dyDescent="0.3">
      <c r="A77" s="12">
        <f t="shared" si="42"/>
        <v>8</v>
      </c>
      <c r="B77" s="16" t="s">
        <v>11</v>
      </c>
      <c r="C77" s="9"/>
      <c r="D77" s="59">
        <f>SUM(D78:D81)</f>
        <v>69003.199999999997</v>
      </c>
      <c r="E77" s="59">
        <f>SUM(E78:E81)</f>
        <v>90003.199999999997</v>
      </c>
      <c r="F77" s="50">
        <f t="shared" si="33"/>
        <v>16913.505000000001</v>
      </c>
      <c r="G77" s="59">
        <f>SUM(G78:G81)</f>
        <v>7157.3879999999999</v>
      </c>
      <c r="H77" s="59">
        <f>SUM(H78:H81)</f>
        <v>8333.3260000000009</v>
      </c>
      <c r="I77" s="59">
        <f>SUM(I78:I81)</f>
        <v>847.39499999999998</v>
      </c>
      <c r="J77" s="59">
        <f>SUM(J78:J81)</f>
        <v>575.39599999999996</v>
      </c>
      <c r="K77" s="59">
        <f>SUM(K78:K81)</f>
        <v>15890.3</v>
      </c>
      <c r="L77" s="59">
        <f t="shared" si="35"/>
        <v>1023.2050000000017</v>
      </c>
      <c r="M77" s="99">
        <f>F77/K77*100</f>
        <v>106.4391798770319</v>
      </c>
      <c r="N77" s="59">
        <f>SUM(N78:N81)</f>
        <v>23001.066666666666</v>
      </c>
      <c r="O77" s="98">
        <f t="shared" si="37"/>
        <v>-6087.5616666666647</v>
      </c>
      <c r="P77" s="99">
        <f t="shared" si="40"/>
        <v>73.533568008440199</v>
      </c>
      <c r="Q77" s="99">
        <f t="shared" si="43"/>
        <v>24.511189336146732</v>
      </c>
      <c r="R77" s="50">
        <f>SUM(R78:R81)</f>
        <v>26023.059000000001</v>
      </c>
      <c r="S77" s="98">
        <f t="shared" si="39"/>
        <v>-9109.5540000000001</v>
      </c>
      <c r="T77" s="99">
        <f>F77/R77*100</f>
        <v>64.994299863056071</v>
      </c>
      <c r="U77" s="66"/>
    </row>
    <row r="78" spans="1:25" s="68" customFormat="1" ht="39" hidden="1" x14ac:dyDescent="0.3">
      <c r="A78" s="14" t="s">
        <v>202</v>
      </c>
      <c r="B78" s="111" t="s">
        <v>150</v>
      </c>
      <c r="C78" s="17" t="s">
        <v>66</v>
      </c>
      <c r="D78" s="139">
        <v>3.2</v>
      </c>
      <c r="E78" s="139">
        <v>3.2</v>
      </c>
      <c r="F78" s="134">
        <f t="shared" si="33"/>
        <v>0</v>
      </c>
      <c r="G78" s="133">
        <v>0</v>
      </c>
      <c r="H78" s="133">
        <v>0</v>
      </c>
      <c r="I78" s="133">
        <v>0</v>
      </c>
      <c r="J78" s="133">
        <v>0</v>
      </c>
      <c r="K78" s="135">
        <v>0</v>
      </c>
      <c r="L78" s="136">
        <f t="shared" si="35"/>
        <v>0</v>
      </c>
      <c r="M78" s="137"/>
      <c r="N78" s="136">
        <f>D78/12*4</f>
        <v>1.0666666666666667</v>
      </c>
      <c r="O78" s="136">
        <f t="shared" si="37"/>
        <v>-1.0666666666666667</v>
      </c>
      <c r="P78" s="137">
        <f t="shared" si="40"/>
        <v>0</v>
      </c>
      <c r="Q78" s="137">
        <f t="shared" si="43"/>
        <v>0</v>
      </c>
      <c r="R78" s="134">
        <v>0</v>
      </c>
      <c r="S78" s="136">
        <f t="shared" si="39"/>
        <v>0</v>
      </c>
      <c r="T78" s="137"/>
    </row>
    <row r="79" spans="1:25" s="68" customFormat="1" ht="23.25" hidden="1" x14ac:dyDescent="0.3">
      <c r="A79" s="14" t="s">
        <v>203</v>
      </c>
      <c r="B79" s="111" t="s">
        <v>180</v>
      </c>
      <c r="C79" s="17" t="s">
        <v>47</v>
      </c>
      <c r="D79" s="139">
        <v>0</v>
      </c>
      <c r="E79" s="139">
        <v>0</v>
      </c>
      <c r="F79" s="134">
        <f t="shared" si="33"/>
        <v>823.61800000000005</v>
      </c>
      <c r="G79" s="133">
        <v>12.75</v>
      </c>
      <c r="H79" s="133">
        <v>807.42100000000005</v>
      </c>
      <c r="I79" s="133">
        <v>3.4470000000000001</v>
      </c>
      <c r="J79" s="133">
        <v>0</v>
      </c>
      <c r="K79" s="135">
        <v>0</v>
      </c>
      <c r="L79" s="136">
        <f t="shared" si="35"/>
        <v>823.61800000000005</v>
      </c>
      <c r="M79" s="137"/>
      <c r="N79" s="136">
        <f t="shared" ref="N79" si="44">D79/12*3</f>
        <v>0</v>
      </c>
      <c r="O79" s="136">
        <f t="shared" si="37"/>
        <v>823.61800000000005</v>
      </c>
      <c r="P79" s="137"/>
      <c r="Q79" s="137"/>
      <c r="R79" s="134">
        <v>8348.6720000000005</v>
      </c>
      <c r="S79" s="136">
        <f t="shared" si="39"/>
        <v>-7525.0540000000001</v>
      </c>
      <c r="T79" s="137">
        <f>F79/R79*100</f>
        <v>9.8652576122286266</v>
      </c>
    </row>
    <row r="80" spans="1:25" s="68" customFormat="1" ht="36.75" hidden="1" customHeight="1" x14ac:dyDescent="0.3">
      <c r="A80" s="14" t="s">
        <v>204</v>
      </c>
      <c r="B80" s="111" t="s">
        <v>39</v>
      </c>
      <c r="C80" s="17" t="s">
        <v>23</v>
      </c>
      <c r="D80" s="139">
        <v>19000</v>
      </c>
      <c r="E80" s="139">
        <v>20000</v>
      </c>
      <c r="F80" s="134">
        <f t="shared" si="33"/>
        <v>6574.5780000000004</v>
      </c>
      <c r="G80" s="133">
        <v>3.9</v>
      </c>
      <c r="H80" s="133">
        <v>6190.4620000000004</v>
      </c>
      <c r="I80" s="133">
        <v>380.21600000000001</v>
      </c>
      <c r="J80" s="133">
        <v>0</v>
      </c>
      <c r="K80" s="135">
        <v>6574</v>
      </c>
      <c r="L80" s="136">
        <f t="shared" si="35"/>
        <v>0.57800000000042928</v>
      </c>
      <c r="M80" s="137">
        <f>F80/K80*100</f>
        <v>100.00879221174324</v>
      </c>
      <c r="N80" s="136">
        <f t="shared" ref="N80:N82" si="45">D80/12*4</f>
        <v>6333.333333333333</v>
      </c>
      <c r="O80" s="136">
        <f t="shared" si="37"/>
        <v>241.2446666666674</v>
      </c>
      <c r="P80" s="137">
        <f>F80/N80*100</f>
        <v>103.80912631578948</v>
      </c>
      <c r="Q80" s="137">
        <f t="shared" si="43"/>
        <v>34.603042105263157</v>
      </c>
      <c r="R80" s="134">
        <v>4200.5239999999994</v>
      </c>
      <c r="S80" s="136">
        <f t="shared" si="39"/>
        <v>2374.054000000001</v>
      </c>
      <c r="T80" s="137">
        <f>F80/R80*100</f>
        <v>156.51804393928001</v>
      </c>
    </row>
    <row r="81" spans="1:22" s="67" customFormat="1" ht="40.5" hidden="1" customHeight="1" x14ac:dyDescent="0.3">
      <c r="A81" s="14" t="s">
        <v>205</v>
      </c>
      <c r="B81" s="46" t="s">
        <v>73</v>
      </c>
      <c r="C81" s="17" t="s">
        <v>45</v>
      </c>
      <c r="D81" s="139">
        <v>50000</v>
      </c>
      <c r="E81" s="139">
        <v>70000</v>
      </c>
      <c r="F81" s="142">
        <f t="shared" si="33"/>
        <v>9515.3090000000011</v>
      </c>
      <c r="G81" s="139">
        <v>7140.7380000000003</v>
      </c>
      <c r="H81" s="139">
        <v>1335.443</v>
      </c>
      <c r="I81" s="139">
        <v>463.73200000000003</v>
      </c>
      <c r="J81" s="139">
        <v>575.39599999999996</v>
      </c>
      <c r="K81" s="139">
        <v>9316.2999999999993</v>
      </c>
      <c r="L81" s="136">
        <f t="shared" si="35"/>
        <v>199.00900000000183</v>
      </c>
      <c r="M81" s="137">
        <f>F81/K81*100</f>
        <v>102.13613773708448</v>
      </c>
      <c r="N81" s="136">
        <f t="shared" si="45"/>
        <v>16666.666666666668</v>
      </c>
      <c r="O81" s="136">
        <f t="shared" si="37"/>
        <v>-7151.3576666666668</v>
      </c>
      <c r="P81" s="137">
        <f>F81/N81*100</f>
        <v>57.091853999999998</v>
      </c>
      <c r="Q81" s="137">
        <f t="shared" si="43"/>
        <v>19.030618</v>
      </c>
      <c r="R81" s="142">
        <v>13473.862999999999</v>
      </c>
      <c r="S81" s="136">
        <f t="shared" si="39"/>
        <v>-3958.5539999999983</v>
      </c>
      <c r="T81" s="137">
        <f>F81/R81*100</f>
        <v>70.620496883484734</v>
      </c>
    </row>
    <row r="82" spans="1:22" s="65" customFormat="1" ht="40.5" hidden="1" customHeight="1" x14ac:dyDescent="0.3">
      <c r="A82" s="24">
        <v>9</v>
      </c>
      <c r="B82" s="126" t="s">
        <v>12</v>
      </c>
      <c r="C82" s="25" t="s">
        <v>24</v>
      </c>
      <c r="D82" s="138">
        <v>6090</v>
      </c>
      <c r="E82" s="138">
        <v>6000</v>
      </c>
      <c r="F82" s="129">
        <f t="shared" si="33"/>
        <v>1974.971</v>
      </c>
      <c r="G82" s="128">
        <v>783.11300000000006</v>
      </c>
      <c r="H82" s="128">
        <v>689.47400000000005</v>
      </c>
      <c r="I82" s="128">
        <v>223.41900000000001</v>
      </c>
      <c r="J82" s="128">
        <v>278.96499999999997</v>
      </c>
      <c r="K82" s="130">
        <v>1905</v>
      </c>
      <c r="L82" s="131">
        <f t="shared" si="35"/>
        <v>69.971000000000004</v>
      </c>
      <c r="M82" s="132">
        <f>F82/K82*100</f>
        <v>103.67301837270342</v>
      </c>
      <c r="N82" s="131">
        <f t="shared" si="45"/>
        <v>2030</v>
      </c>
      <c r="O82" s="131">
        <f t="shared" si="37"/>
        <v>-55.028999999999996</v>
      </c>
      <c r="P82" s="132">
        <f>F82/N82*100</f>
        <v>97.289211822660093</v>
      </c>
      <c r="Q82" s="132">
        <f t="shared" si="43"/>
        <v>32.429737274220031</v>
      </c>
      <c r="R82" s="129">
        <v>1520.7170000000001</v>
      </c>
      <c r="S82" s="131">
        <f t="shared" si="39"/>
        <v>454.25399999999991</v>
      </c>
      <c r="T82" s="132">
        <f>F82/R82*100</f>
        <v>129.87104109443109</v>
      </c>
    </row>
    <row r="83" spans="1:22" s="55" customFormat="1" ht="35.25" hidden="1" customHeight="1" x14ac:dyDescent="0.3">
      <c r="A83" s="53"/>
      <c r="B83" s="91" t="s">
        <v>184</v>
      </c>
      <c r="C83" s="54"/>
      <c r="D83" s="50">
        <f>D68+D72+D75+D76+D78+D79+D80+D81+D82+D74</f>
        <v>171973.91200000001</v>
      </c>
      <c r="E83" s="50">
        <f>E68+E72+E75+E76+E78+E79+E80+E81+E82+E74</f>
        <v>192883.91200000001</v>
      </c>
      <c r="F83" s="50">
        <f t="shared" si="33"/>
        <v>48668.549999999996</v>
      </c>
      <c r="G83" s="50">
        <f>G68+G72+G75+G76+G78+G79+G80+G81+G82+G74</f>
        <v>14825.063</v>
      </c>
      <c r="H83" s="50">
        <f>H68+H72+H75+H76+H78+H79+H80+H81+H82+H74+H71+H73</f>
        <v>17196.865999999998</v>
      </c>
      <c r="I83" s="50">
        <f>I68+I72+I75+I76+I78+I79+I80+I81+I82+I74+I71+I73</f>
        <v>12321.911</v>
      </c>
      <c r="J83" s="50">
        <f>J68+J72+J75+J76+J78+J79+J80+J81+J82+J74+J71+J73</f>
        <v>4324.71</v>
      </c>
      <c r="K83" s="50">
        <f>K68+K72+K75+K76+K78+K79+K80+K81+K82+K74</f>
        <v>49869.191000000006</v>
      </c>
      <c r="L83" s="93">
        <f t="shared" si="35"/>
        <v>-1200.6410000000105</v>
      </c>
      <c r="M83" s="94">
        <f>F83/K83*100</f>
        <v>97.592419335617436</v>
      </c>
      <c r="N83" s="93">
        <f>N68+N72+N75+N76+N78+N79+N80+N81+N82+N74</f>
        <v>57324.637333333339</v>
      </c>
      <c r="O83" s="93">
        <f t="shared" si="37"/>
        <v>-8656.0873333333438</v>
      </c>
      <c r="P83" s="94">
        <f>F83/N83*100</f>
        <v>84.899882954340171</v>
      </c>
      <c r="Q83" s="94">
        <f t="shared" si="43"/>
        <v>28.299960984780061</v>
      </c>
      <c r="R83" s="50">
        <f>R68+R72+R75+R76+R78+R79+R80+R81+R82+R74</f>
        <v>52417.534999999996</v>
      </c>
      <c r="S83" s="93">
        <f t="shared" si="39"/>
        <v>-3748.9850000000006</v>
      </c>
      <c r="T83" s="94">
        <f>F83/R83*100</f>
        <v>92.847841852921931</v>
      </c>
    </row>
    <row r="84" spans="1:22" s="71" customFormat="1" ht="22.5" hidden="1" x14ac:dyDescent="0.3">
      <c r="A84" s="70"/>
      <c r="B84" s="97"/>
      <c r="C84" s="58"/>
      <c r="D84" s="59"/>
      <c r="E84" s="59"/>
      <c r="F84" s="50"/>
      <c r="G84" s="59"/>
      <c r="H84" s="59"/>
      <c r="I84" s="59"/>
      <c r="J84" s="59"/>
      <c r="K84" s="59"/>
      <c r="L84" s="98"/>
      <c r="M84" s="99"/>
      <c r="N84" s="98"/>
      <c r="O84" s="98"/>
      <c r="P84" s="99"/>
      <c r="Q84" s="99"/>
      <c r="R84" s="50"/>
      <c r="S84" s="98"/>
      <c r="T84" s="99"/>
    </row>
    <row r="85" spans="1:22" s="71" customFormat="1" ht="45" hidden="1" x14ac:dyDescent="0.3">
      <c r="A85" s="70"/>
      <c r="B85" s="97" t="s">
        <v>223</v>
      </c>
      <c r="C85" s="58"/>
      <c r="D85" s="59">
        <f>D83-D68</f>
        <v>77536.900000000009</v>
      </c>
      <c r="E85" s="59">
        <f>E83-E68</f>
        <v>98446.900000000009</v>
      </c>
      <c r="F85" s="50">
        <f t="shared" si="33"/>
        <v>19611.524999999994</v>
      </c>
      <c r="G85" s="59">
        <f>G83-G68</f>
        <v>7964.6719999999996</v>
      </c>
      <c r="H85" s="59">
        <f>H83-H68</f>
        <v>9425.0599999999977</v>
      </c>
      <c r="I85" s="59">
        <f>I83-I68</f>
        <v>1157.0499999999993</v>
      </c>
      <c r="J85" s="59">
        <f>J83-J68</f>
        <v>1064.7430000000004</v>
      </c>
      <c r="K85" s="59">
        <f>K83-K68</f>
        <v>18390.187000000005</v>
      </c>
      <c r="L85" s="98">
        <f>F85-K85</f>
        <v>1221.3379999999888</v>
      </c>
      <c r="M85" s="99">
        <f>F85/K85*100</f>
        <v>106.64124840057356</v>
      </c>
      <c r="N85" s="59">
        <f>N83-N68</f>
        <v>25845.633333333339</v>
      </c>
      <c r="O85" s="98">
        <f>F85-N85</f>
        <v>-6234.1083333333445</v>
      </c>
      <c r="P85" s="99">
        <f>F85/N85*100</f>
        <v>75.879452235000329</v>
      </c>
      <c r="Q85" s="99">
        <f t="shared" si="43"/>
        <v>25.293150745000116</v>
      </c>
      <c r="R85" s="50">
        <f>R83-R68</f>
        <v>28256.700999999994</v>
      </c>
      <c r="S85" s="98">
        <f>F85-R85</f>
        <v>-8645.1759999999995</v>
      </c>
      <c r="T85" s="99">
        <f>F85/R85*100</f>
        <v>69.40486435412258</v>
      </c>
    </row>
    <row r="86" spans="1:22" s="71" customFormat="1" ht="22.5" hidden="1" x14ac:dyDescent="0.3">
      <c r="A86" s="70"/>
      <c r="B86" s="165"/>
      <c r="C86" s="58"/>
      <c r="D86" s="59"/>
      <c r="E86" s="59"/>
      <c r="F86" s="50"/>
      <c r="G86" s="59"/>
      <c r="H86" s="59"/>
      <c r="I86" s="59"/>
      <c r="J86" s="59"/>
      <c r="K86" s="59"/>
      <c r="L86" s="98"/>
      <c r="M86" s="99"/>
      <c r="N86" s="98"/>
      <c r="O86" s="98"/>
      <c r="P86" s="99"/>
      <c r="Q86" s="99"/>
      <c r="R86" s="50"/>
      <c r="S86" s="98"/>
      <c r="T86" s="99"/>
    </row>
    <row r="87" spans="1:22" s="27" customFormat="1" ht="90.75" hidden="1" customHeight="1" x14ac:dyDescent="0.25">
      <c r="A87" s="24">
        <v>1</v>
      </c>
      <c r="B87" s="64" t="s">
        <v>140</v>
      </c>
      <c r="C87" s="25" t="s">
        <v>77</v>
      </c>
      <c r="D87" s="138">
        <v>22916.2</v>
      </c>
      <c r="E87" s="138">
        <v>120420</v>
      </c>
      <c r="F87" s="143">
        <f t="shared" si="33"/>
        <v>0</v>
      </c>
      <c r="G87" s="138">
        <v>0</v>
      </c>
      <c r="H87" s="138">
        <v>0</v>
      </c>
      <c r="I87" s="138">
        <v>0</v>
      </c>
      <c r="J87" s="138">
        <v>0</v>
      </c>
      <c r="K87" s="138">
        <v>22916.2</v>
      </c>
      <c r="L87" s="131">
        <f>F87-K87</f>
        <v>-22916.2</v>
      </c>
      <c r="M87" s="144"/>
      <c r="N87" s="138">
        <f>D87</f>
        <v>22916.2</v>
      </c>
      <c r="O87" s="131">
        <f>F87-N87</f>
        <v>-22916.2</v>
      </c>
      <c r="P87" s="144">
        <f>F87/N87*100</f>
        <v>0</v>
      </c>
      <c r="Q87" s="144">
        <f t="shared" si="43"/>
        <v>0</v>
      </c>
      <c r="R87" s="143">
        <v>1530.3</v>
      </c>
      <c r="S87" s="131">
        <f>F87-R87</f>
        <v>-1530.3</v>
      </c>
      <c r="T87" s="132"/>
    </row>
    <row r="88" spans="1:22" s="36" customFormat="1" ht="22.5" hidden="1" x14ac:dyDescent="0.25">
      <c r="A88" s="35"/>
      <c r="B88" s="100"/>
      <c r="C88" s="26"/>
      <c r="D88" s="59"/>
      <c r="E88" s="59"/>
      <c r="F88" s="50"/>
      <c r="G88" s="59"/>
      <c r="H88" s="59"/>
      <c r="I88" s="59"/>
      <c r="J88" s="59"/>
      <c r="K88" s="59"/>
      <c r="L88" s="98"/>
      <c r="M88" s="99"/>
      <c r="N88" s="98"/>
      <c r="O88" s="98"/>
      <c r="P88" s="99"/>
      <c r="Q88" s="99"/>
      <c r="R88" s="50"/>
      <c r="S88" s="98"/>
      <c r="T88" s="99"/>
    </row>
    <row r="89" spans="1:22" s="51" customFormat="1" ht="37.5" hidden="1" customHeight="1" x14ac:dyDescent="0.3">
      <c r="A89" s="48"/>
      <c r="B89" s="52" t="s">
        <v>226</v>
      </c>
      <c r="C89" s="54"/>
      <c r="D89" s="50">
        <f>D90+D91</f>
        <v>22916.2</v>
      </c>
      <c r="E89" s="50">
        <f>E90+E91</f>
        <v>120420</v>
      </c>
      <c r="F89" s="50">
        <f t="shared" si="33"/>
        <v>0</v>
      </c>
      <c r="G89" s="50">
        <f>G90+G91</f>
        <v>0</v>
      </c>
      <c r="H89" s="50">
        <f>H90+H91</f>
        <v>0</v>
      </c>
      <c r="I89" s="50">
        <f>I90+I91</f>
        <v>0</v>
      </c>
      <c r="J89" s="50">
        <f>J90+J91</f>
        <v>0</v>
      </c>
      <c r="K89" s="50">
        <f>K90+K91</f>
        <v>22916.2</v>
      </c>
      <c r="L89" s="93">
        <f>F89-K89</f>
        <v>-22916.2</v>
      </c>
      <c r="M89" s="94">
        <f>F89/K89*100</f>
        <v>0</v>
      </c>
      <c r="N89" s="50">
        <f>N90+N91</f>
        <v>22916.2</v>
      </c>
      <c r="O89" s="93">
        <f>F89-N89</f>
        <v>-22916.2</v>
      </c>
      <c r="P89" s="94">
        <f>F89/N89*100</f>
        <v>0</v>
      </c>
      <c r="Q89" s="94">
        <f t="shared" si="43"/>
        <v>0</v>
      </c>
      <c r="R89" s="50">
        <f>R90+R91</f>
        <v>1530.3</v>
      </c>
      <c r="S89" s="93">
        <f>F89-R89</f>
        <v>-1530.3</v>
      </c>
      <c r="T89" s="94"/>
    </row>
    <row r="90" spans="1:22" s="8" customFormat="1" ht="37.5" hidden="1" customHeight="1" x14ac:dyDescent="0.25">
      <c r="A90" s="14"/>
      <c r="B90" s="17" t="s">
        <v>110</v>
      </c>
      <c r="C90" s="17"/>
      <c r="D90" s="139">
        <f>D87</f>
        <v>22916.2</v>
      </c>
      <c r="E90" s="139">
        <f>E87</f>
        <v>120420</v>
      </c>
      <c r="F90" s="142">
        <f t="shared" si="33"/>
        <v>0</v>
      </c>
      <c r="G90" s="139">
        <f>G87</f>
        <v>0</v>
      </c>
      <c r="H90" s="139">
        <f>H87</f>
        <v>0</v>
      </c>
      <c r="I90" s="139">
        <f>I87</f>
        <v>0</v>
      </c>
      <c r="J90" s="139">
        <f>J87</f>
        <v>0</v>
      </c>
      <c r="K90" s="139">
        <f>K87</f>
        <v>22916.2</v>
      </c>
      <c r="L90" s="136">
        <f>F90-K90</f>
        <v>-22916.2</v>
      </c>
      <c r="M90" s="137"/>
      <c r="N90" s="139">
        <f>N87</f>
        <v>22916.2</v>
      </c>
      <c r="O90" s="136">
        <f>F90-N90</f>
        <v>-22916.2</v>
      </c>
      <c r="P90" s="137">
        <f>F90/N90*100</f>
        <v>0</v>
      </c>
      <c r="Q90" s="137">
        <f t="shared" si="43"/>
        <v>0</v>
      </c>
      <c r="R90" s="142">
        <f>R87</f>
        <v>1530.3</v>
      </c>
      <c r="S90" s="136">
        <f>F90-R90</f>
        <v>-1530.3</v>
      </c>
      <c r="T90" s="137"/>
    </row>
    <row r="91" spans="1:22" s="8" customFormat="1" ht="37.5" hidden="1" customHeight="1" x14ac:dyDescent="0.25">
      <c r="A91" s="14"/>
      <c r="B91" s="198" t="s">
        <v>109</v>
      </c>
      <c r="C91" s="17"/>
      <c r="D91" s="139">
        <v>0</v>
      </c>
      <c r="E91" s="139">
        <v>0</v>
      </c>
      <c r="F91" s="142">
        <f t="shared" si="33"/>
        <v>0</v>
      </c>
      <c r="G91" s="139">
        <v>0</v>
      </c>
      <c r="H91" s="139">
        <v>0</v>
      </c>
      <c r="I91" s="139">
        <v>0</v>
      </c>
      <c r="J91" s="139">
        <v>0</v>
      </c>
      <c r="K91" s="139">
        <v>0</v>
      </c>
      <c r="L91" s="136">
        <f>F91-K91</f>
        <v>0</v>
      </c>
      <c r="M91" s="137"/>
      <c r="N91" s="139">
        <v>0</v>
      </c>
      <c r="O91" s="136">
        <f>F91-N91</f>
        <v>0</v>
      </c>
      <c r="P91" s="137"/>
      <c r="Q91" s="137"/>
      <c r="R91" s="142">
        <v>0</v>
      </c>
      <c r="S91" s="136">
        <f>F91-R91</f>
        <v>0</v>
      </c>
      <c r="T91" s="137"/>
    </row>
    <row r="92" spans="1:22" s="10" customFormat="1" ht="23.25" hidden="1" x14ac:dyDescent="0.25">
      <c r="A92" s="24"/>
      <c r="B92" s="42"/>
      <c r="C92" s="25"/>
      <c r="D92" s="138"/>
      <c r="E92" s="138"/>
      <c r="F92" s="145"/>
      <c r="G92" s="146"/>
      <c r="H92" s="146"/>
      <c r="I92" s="146"/>
      <c r="J92" s="146"/>
      <c r="K92" s="138"/>
      <c r="L92" s="131"/>
      <c r="M92" s="132"/>
      <c r="N92" s="138"/>
      <c r="O92" s="131"/>
      <c r="P92" s="132"/>
      <c r="Q92" s="132"/>
      <c r="R92" s="145"/>
      <c r="S92" s="131"/>
      <c r="T92" s="132"/>
    </row>
    <row r="93" spans="1:22" s="174" customFormat="1" ht="44.25" hidden="1" customHeight="1" x14ac:dyDescent="0.3">
      <c r="A93" s="167"/>
      <c r="B93" s="168" t="s">
        <v>44</v>
      </c>
      <c r="C93" s="175"/>
      <c r="D93" s="170">
        <f>D83+D89</f>
        <v>194890.11200000002</v>
      </c>
      <c r="E93" s="170">
        <f>E83+E89</f>
        <v>313303.91200000001</v>
      </c>
      <c r="F93" s="170">
        <f t="shared" si="33"/>
        <v>48668.549999999996</v>
      </c>
      <c r="G93" s="170">
        <f>G83+G89</f>
        <v>14825.063</v>
      </c>
      <c r="H93" s="170">
        <f>H83+H89</f>
        <v>17196.865999999998</v>
      </c>
      <c r="I93" s="170">
        <f>I83+I89</f>
        <v>12321.911</v>
      </c>
      <c r="J93" s="170">
        <f>J83+J89</f>
        <v>4324.71</v>
      </c>
      <c r="K93" s="170">
        <f>K83+K89</f>
        <v>72785.391000000003</v>
      </c>
      <c r="L93" s="171">
        <f>F93-K93</f>
        <v>-24116.841000000008</v>
      </c>
      <c r="M93" s="172">
        <f>F93/K93*100</f>
        <v>66.865822016398852</v>
      </c>
      <c r="N93" s="170">
        <f>N83+N89</f>
        <v>80240.837333333344</v>
      </c>
      <c r="O93" s="171">
        <f>F93-N93</f>
        <v>-31572.287333333348</v>
      </c>
      <c r="P93" s="172">
        <f>F93/N93*100</f>
        <v>60.653093384136824</v>
      </c>
      <c r="Q93" s="172">
        <f t="shared" si="43"/>
        <v>24.97230336652482</v>
      </c>
      <c r="R93" s="170">
        <f>R83+R89</f>
        <v>53947.834999999999</v>
      </c>
      <c r="S93" s="171">
        <f>F93-R93</f>
        <v>-5279.2850000000035</v>
      </c>
      <c r="T93" s="172">
        <f>F93/R93*100</f>
        <v>90.214092928845062</v>
      </c>
      <c r="U93" s="174">
        <v>53947.834999999999</v>
      </c>
      <c r="V93" s="173">
        <f>U93-R93</f>
        <v>0</v>
      </c>
    </row>
    <row r="94" spans="1:22" s="60" customFormat="1" ht="22.5" hidden="1" x14ac:dyDescent="0.3">
      <c r="A94" s="56"/>
      <c r="B94" s="57"/>
      <c r="C94" s="58"/>
      <c r="D94" s="59"/>
      <c r="E94" s="59"/>
      <c r="F94" s="50"/>
      <c r="G94" s="59"/>
      <c r="H94" s="59"/>
      <c r="I94" s="59"/>
      <c r="J94" s="59"/>
      <c r="K94" s="59"/>
      <c r="L94" s="98"/>
      <c r="M94" s="99"/>
      <c r="N94" s="59"/>
      <c r="O94" s="98"/>
      <c r="P94" s="99"/>
      <c r="Q94" s="99"/>
      <c r="R94" s="50"/>
      <c r="S94" s="98"/>
      <c r="T94" s="99"/>
    </row>
    <row r="95" spans="1:22" s="182" customFormat="1" ht="63" hidden="1" customHeight="1" x14ac:dyDescent="0.3">
      <c r="A95" s="176"/>
      <c r="B95" s="177" t="s">
        <v>68</v>
      </c>
      <c r="C95" s="178"/>
      <c r="D95" s="179">
        <f>D93-D68</f>
        <v>100453.10000000002</v>
      </c>
      <c r="E95" s="179">
        <f>E93-E68</f>
        <v>218866.90000000002</v>
      </c>
      <c r="F95" s="170">
        <f t="shared" si="33"/>
        <v>19611.524999999994</v>
      </c>
      <c r="G95" s="179">
        <f>G93-G68</f>
        <v>7964.6719999999996</v>
      </c>
      <c r="H95" s="179">
        <f>H93-H68</f>
        <v>9425.0599999999977</v>
      </c>
      <c r="I95" s="179">
        <f>I93-I68</f>
        <v>1157.0499999999993</v>
      </c>
      <c r="J95" s="179">
        <f>J93-J68</f>
        <v>1064.7430000000004</v>
      </c>
      <c r="K95" s="179">
        <f>K93-K68</f>
        <v>41306.387000000002</v>
      </c>
      <c r="L95" s="180">
        <f>F95-K95</f>
        <v>-21694.862000000008</v>
      </c>
      <c r="M95" s="181">
        <f>F95/K95*100</f>
        <v>47.478190237262808</v>
      </c>
      <c r="N95" s="179">
        <f>N93-N68</f>
        <v>48761.833333333343</v>
      </c>
      <c r="O95" s="180">
        <f>F95-N95</f>
        <v>-29150.308333333349</v>
      </c>
      <c r="P95" s="181">
        <f>F95/N95*100</f>
        <v>40.219006668466776</v>
      </c>
      <c r="Q95" s="181">
        <f t="shared" si="43"/>
        <v>19.523065988008327</v>
      </c>
      <c r="R95" s="170">
        <f>R93-R68</f>
        <v>29787.000999999997</v>
      </c>
      <c r="S95" s="180">
        <f>F95-R95</f>
        <v>-10175.476000000002</v>
      </c>
      <c r="T95" s="181">
        <f>F95/R95*100</f>
        <v>65.839206169160818</v>
      </c>
    </row>
    <row r="96" spans="1:22" s="13" customFormat="1" ht="35.25" hidden="1" customHeight="1" x14ac:dyDescent="0.25">
      <c r="A96" s="228" t="s">
        <v>43</v>
      </c>
      <c r="B96" s="228"/>
      <c r="C96" s="228"/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</row>
    <row r="97" spans="1:22" s="174" customFormat="1" ht="37.5" hidden="1" customHeight="1" x14ac:dyDescent="0.3">
      <c r="A97" s="183"/>
      <c r="B97" s="168" t="s">
        <v>184</v>
      </c>
      <c r="C97" s="175"/>
      <c r="D97" s="170">
        <f>D47+D83</f>
        <v>4561433.8969999999</v>
      </c>
      <c r="E97" s="170">
        <f>E47+E83</f>
        <v>3944505.3009999995</v>
      </c>
      <c r="F97" s="170">
        <f t="shared" si="33"/>
        <v>1359895.773</v>
      </c>
      <c r="G97" s="170">
        <f>G47+G83</f>
        <v>318364.7900000001</v>
      </c>
      <c r="H97" s="170">
        <f>H47+H83</f>
        <v>399800.83799999999</v>
      </c>
      <c r="I97" s="170">
        <f>I47+I83</f>
        <v>311256.16200000001</v>
      </c>
      <c r="J97" s="170">
        <f>J47+J83</f>
        <v>330473.98300000001</v>
      </c>
      <c r="K97" s="170">
        <f>K47+K83</f>
        <v>1332321.4100000001</v>
      </c>
      <c r="L97" s="171">
        <f>F97-K97</f>
        <v>27574.362999999896</v>
      </c>
      <c r="M97" s="172">
        <f>F97/K97*100</f>
        <v>102.06964796880355</v>
      </c>
      <c r="N97" s="170">
        <f>N47+N83</f>
        <v>1520477.9656666669</v>
      </c>
      <c r="O97" s="171">
        <f>F97-N97</f>
        <v>-160582.19266666682</v>
      </c>
      <c r="P97" s="172">
        <f>F97/N97*100</f>
        <v>89.438703072802625</v>
      </c>
      <c r="Q97" s="172">
        <f t="shared" si="43"/>
        <v>29.812901024267546</v>
      </c>
      <c r="R97" s="170">
        <f>R47+R83</f>
        <v>1182363.7459999998</v>
      </c>
      <c r="S97" s="171">
        <f>F97-R97</f>
        <v>177532.02700000023</v>
      </c>
      <c r="T97" s="172">
        <f>F97/R97*100</f>
        <v>115.01500934890811</v>
      </c>
    </row>
    <row r="98" spans="1:22" s="182" customFormat="1" ht="23.25" hidden="1" x14ac:dyDescent="0.3">
      <c r="A98" s="184"/>
      <c r="B98" s="185"/>
      <c r="C98" s="178"/>
      <c r="D98" s="179"/>
      <c r="E98" s="179"/>
      <c r="F98" s="170"/>
      <c r="G98" s="179"/>
      <c r="H98" s="179"/>
      <c r="I98" s="179"/>
      <c r="J98" s="179"/>
      <c r="K98" s="179"/>
      <c r="L98" s="180"/>
      <c r="M98" s="181"/>
      <c r="N98" s="179"/>
      <c r="O98" s="180"/>
      <c r="P98" s="181"/>
      <c r="Q98" s="181"/>
      <c r="R98" s="170"/>
      <c r="S98" s="180"/>
      <c r="T98" s="181"/>
    </row>
    <row r="99" spans="1:22" s="182" customFormat="1" ht="57.75" hidden="1" customHeight="1" x14ac:dyDescent="0.3">
      <c r="A99" s="184"/>
      <c r="B99" s="177" t="s">
        <v>224</v>
      </c>
      <c r="C99" s="178"/>
      <c r="D99" s="179">
        <f>D47+D85</f>
        <v>4466996.8849999998</v>
      </c>
      <c r="E99" s="179">
        <f>E47+E85</f>
        <v>3850068.2889999994</v>
      </c>
      <c r="F99" s="170">
        <f t="shared" si="33"/>
        <v>1330838.7480000001</v>
      </c>
      <c r="G99" s="179">
        <f>G47+G85</f>
        <v>311504.39900000009</v>
      </c>
      <c r="H99" s="179">
        <f>H47+H85</f>
        <v>392029.03200000001</v>
      </c>
      <c r="I99" s="179">
        <f>I47+I85</f>
        <v>300091.30099999998</v>
      </c>
      <c r="J99" s="179">
        <f>J47+J85</f>
        <v>327214.016</v>
      </c>
      <c r="K99" s="179">
        <f>K47+K85</f>
        <v>1300842.406</v>
      </c>
      <c r="L99" s="180">
        <f>F99-K99</f>
        <v>29996.342000000179</v>
      </c>
      <c r="M99" s="181">
        <f>F99/K99*100</f>
        <v>102.30591667842663</v>
      </c>
      <c r="N99" s="179">
        <f>N47+N85</f>
        <v>1488998.9616666669</v>
      </c>
      <c r="O99" s="180">
        <f>F99-N99</f>
        <v>-158160.21366666676</v>
      </c>
      <c r="P99" s="181">
        <f>F99/N99*100</f>
        <v>89.378084354764439</v>
      </c>
      <c r="Q99" s="181">
        <f t="shared" si="43"/>
        <v>29.792694784921487</v>
      </c>
      <c r="R99" s="170">
        <f>R47+R85</f>
        <v>1158202.9119999998</v>
      </c>
      <c r="S99" s="180">
        <f>F99-R99</f>
        <v>172635.83600000036</v>
      </c>
      <c r="T99" s="181">
        <f>F99/R99*100</f>
        <v>114.90549144811686</v>
      </c>
    </row>
    <row r="100" spans="1:22" s="32" customFormat="1" ht="22.5" hidden="1" x14ac:dyDescent="0.3">
      <c r="A100" s="208"/>
      <c r="B100" s="16"/>
      <c r="C100" s="26"/>
      <c r="D100" s="59"/>
      <c r="E100" s="59"/>
      <c r="F100" s="50"/>
      <c r="G100" s="59"/>
      <c r="H100" s="59"/>
      <c r="I100" s="59"/>
      <c r="J100" s="59"/>
      <c r="K100" s="59"/>
      <c r="L100" s="98"/>
      <c r="M100" s="99"/>
      <c r="N100" s="59"/>
      <c r="O100" s="98"/>
      <c r="P100" s="99"/>
      <c r="Q100" s="99"/>
      <c r="R100" s="50"/>
      <c r="S100" s="98"/>
      <c r="T100" s="99"/>
    </row>
    <row r="101" spans="1:22" s="32" customFormat="1" ht="60.75" hidden="1" x14ac:dyDescent="0.3">
      <c r="A101" s="208"/>
      <c r="B101" s="213" t="s">
        <v>225</v>
      </c>
      <c r="C101" s="26"/>
      <c r="D101" s="187">
        <f>D99+D48+D103</f>
        <v>5581576.4849999994</v>
      </c>
      <c r="E101" s="187" t="e">
        <f>E99+E48+#REF!+E103</f>
        <v>#REF!</v>
      </c>
      <c r="F101" s="188">
        <f t="shared" si="33"/>
        <v>1630347.2150000001</v>
      </c>
      <c r="G101" s="187">
        <f>G99+G48+G103</f>
        <v>398966.69900000008</v>
      </c>
      <c r="H101" s="187">
        <f>H99+H48+H103</f>
        <v>472299.799</v>
      </c>
      <c r="I101" s="187">
        <f>I99+I48+I103</f>
        <v>365979.00099999999</v>
      </c>
      <c r="J101" s="187">
        <f>J99+J48+J103</f>
        <v>393101.71600000001</v>
      </c>
      <c r="K101" s="187">
        <f>K99+K48+K103</f>
        <v>1650691.706</v>
      </c>
      <c r="L101" s="189">
        <f>F101-K101</f>
        <v>-20344.490999999922</v>
      </c>
      <c r="M101" s="190">
        <f>F101/K101*100</f>
        <v>98.767517221656178</v>
      </c>
      <c r="N101" s="187">
        <f>N99+N48+N103</f>
        <v>2430981.561666667</v>
      </c>
      <c r="O101" s="189">
        <f>F101-N101</f>
        <v>-800634.34666666691</v>
      </c>
      <c r="P101" s="190">
        <f>F101/N101*100</f>
        <v>67.06538793664248</v>
      </c>
      <c r="Q101" s="190">
        <f t="shared" si="43"/>
        <v>29.209439651708013</v>
      </c>
      <c r="R101" s="188">
        <f>R99+R48+R103</f>
        <v>1443098.2119999998</v>
      </c>
      <c r="S101" s="189">
        <f>F101-R101</f>
        <v>187249.00300000026</v>
      </c>
      <c r="T101" s="190">
        <f>F101/R101*100</f>
        <v>112.9754857599394</v>
      </c>
      <c r="U101" s="66"/>
    </row>
    <row r="102" spans="1:22" s="32" customFormat="1" ht="22.5" hidden="1" x14ac:dyDescent="0.3">
      <c r="A102" s="208"/>
      <c r="B102" s="16"/>
      <c r="C102" s="26"/>
      <c r="D102" s="59"/>
      <c r="E102" s="59"/>
      <c r="F102" s="50"/>
      <c r="G102" s="59"/>
      <c r="H102" s="59"/>
      <c r="I102" s="59"/>
      <c r="J102" s="59"/>
      <c r="K102" s="59"/>
      <c r="L102" s="98"/>
      <c r="M102" s="99"/>
      <c r="N102" s="59"/>
      <c r="O102" s="98"/>
      <c r="P102" s="99"/>
      <c r="Q102" s="99"/>
      <c r="R102" s="50"/>
      <c r="S102" s="98"/>
      <c r="T102" s="99"/>
    </row>
    <row r="103" spans="1:22" s="32" customFormat="1" ht="39.75" hidden="1" customHeight="1" x14ac:dyDescent="0.3">
      <c r="A103" s="208"/>
      <c r="B103" s="213" t="s">
        <v>74</v>
      </c>
      <c r="C103" s="26"/>
      <c r="D103" s="187">
        <v>258895.5</v>
      </c>
      <c r="E103" s="187">
        <v>234281.5</v>
      </c>
      <c r="F103" s="188">
        <f t="shared" si="33"/>
        <v>35957.667000000001</v>
      </c>
      <c r="G103" s="187">
        <v>21574.6</v>
      </c>
      <c r="H103" s="187">
        <v>14383.066999999999</v>
      </c>
      <c r="I103" s="187">
        <v>0</v>
      </c>
      <c r="J103" s="187">
        <v>0</v>
      </c>
      <c r="K103" s="187">
        <v>86298.5</v>
      </c>
      <c r="L103" s="189">
        <f>F103-K103</f>
        <v>-50340.832999999999</v>
      </c>
      <c r="M103" s="190">
        <f>F103/K103*100</f>
        <v>41.666618770894047</v>
      </c>
      <c r="N103" s="187">
        <f>D103/12*4</f>
        <v>86298.5</v>
      </c>
      <c r="O103" s="189">
        <f>F103-N103</f>
        <v>-50340.832999999999</v>
      </c>
      <c r="P103" s="190">
        <f>F103/N103*100</f>
        <v>41.666618770894047</v>
      </c>
      <c r="Q103" s="190">
        <f t="shared" si="43"/>
        <v>13.888872923631348</v>
      </c>
      <c r="R103" s="188">
        <v>78094</v>
      </c>
      <c r="S103" s="189">
        <f>F103-R103</f>
        <v>-42136.332999999999</v>
      </c>
      <c r="T103" s="190">
        <f>F103/R103*100</f>
        <v>46.044084052552051</v>
      </c>
    </row>
    <row r="104" spans="1:22" s="32" customFormat="1" ht="22.5" hidden="1" x14ac:dyDescent="0.3">
      <c r="A104" s="12"/>
      <c r="B104" s="16"/>
      <c r="C104" s="26"/>
      <c r="D104" s="59"/>
      <c r="E104" s="59"/>
      <c r="F104" s="50"/>
      <c r="G104" s="59"/>
      <c r="H104" s="59"/>
      <c r="I104" s="59"/>
      <c r="J104" s="59"/>
      <c r="K104" s="59"/>
      <c r="L104" s="98"/>
      <c r="M104" s="99"/>
      <c r="N104" s="59"/>
      <c r="O104" s="98"/>
      <c r="P104" s="99"/>
      <c r="Q104" s="99"/>
      <c r="R104" s="50"/>
      <c r="S104" s="98"/>
      <c r="T104" s="99"/>
    </row>
    <row r="105" spans="1:22" s="51" customFormat="1" ht="39" hidden="1" customHeight="1" x14ac:dyDescent="0.3">
      <c r="A105" s="48"/>
      <c r="B105" s="52" t="s">
        <v>226</v>
      </c>
      <c r="C105" s="54"/>
      <c r="D105" s="50">
        <f>D59+D89</f>
        <v>932227.53999999992</v>
      </c>
      <c r="E105" s="50" t="e">
        <f>E59+E89</f>
        <v>#REF!</v>
      </c>
      <c r="F105" s="50">
        <f t="shared" si="33"/>
        <v>280062.81199999998</v>
      </c>
      <c r="G105" s="50">
        <f>G59+G89</f>
        <v>69678.231999999989</v>
      </c>
      <c r="H105" s="50">
        <f>H59+H89</f>
        <v>69894.97</v>
      </c>
      <c r="I105" s="50">
        <f>I59+I89</f>
        <v>69828.259999999995</v>
      </c>
      <c r="J105" s="50">
        <f>J59+J89</f>
        <v>70661.349999999991</v>
      </c>
      <c r="K105" s="50">
        <f>K59+K89</f>
        <v>303360.05799999996</v>
      </c>
      <c r="L105" s="93">
        <f>F105-K105</f>
        <v>-23297.245999999985</v>
      </c>
      <c r="M105" s="94">
        <f>F105/K105*100</f>
        <v>92.32026584066648</v>
      </c>
      <c r="N105" s="50">
        <f>N59+N89</f>
        <v>929214.41299999994</v>
      </c>
      <c r="O105" s="93">
        <f>F105-N105</f>
        <v>-649151.60100000002</v>
      </c>
      <c r="P105" s="94">
        <f>F105/N105*100</f>
        <v>30.139740417478865</v>
      </c>
      <c r="Q105" s="94">
        <f t="shared" si="43"/>
        <v>30.042323358093455</v>
      </c>
      <c r="R105" s="50">
        <f>R59+R89</f>
        <v>218031.98200000002</v>
      </c>
      <c r="S105" s="93">
        <f>F105-R105</f>
        <v>62030.829999999958</v>
      </c>
      <c r="T105" s="94">
        <f>F105/R105*100</f>
        <v>128.45033532741078</v>
      </c>
    </row>
    <row r="106" spans="1:22" s="60" customFormat="1" ht="39" hidden="1" customHeight="1" x14ac:dyDescent="0.3">
      <c r="A106" s="191"/>
      <c r="B106" s="61" t="s">
        <v>78</v>
      </c>
      <c r="C106" s="58"/>
      <c r="D106" s="59">
        <f t="shared" ref="D106:E106" si="46">D107+D108</f>
        <v>903227.53999999992</v>
      </c>
      <c r="E106" s="59" t="e">
        <f t="shared" si="46"/>
        <v>#REF!</v>
      </c>
      <c r="F106" s="50">
        <f t="shared" si="33"/>
        <v>270396.01199999999</v>
      </c>
      <c r="G106" s="59">
        <f t="shared" ref="G106:K106" si="47">G107+G108</f>
        <v>67261.531999999992</v>
      </c>
      <c r="H106" s="59">
        <f t="shared" si="47"/>
        <v>67478.27</v>
      </c>
      <c r="I106" s="59">
        <f t="shared" si="47"/>
        <v>67411.56</v>
      </c>
      <c r="J106" s="59">
        <f t="shared" si="47"/>
        <v>68244.649999999994</v>
      </c>
      <c r="K106" s="59">
        <f t="shared" si="47"/>
        <v>293693.25799999997</v>
      </c>
      <c r="L106" s="98">
        <f>F106-K106</f>
        <v>-23297.245999999985</v>
      </c>
      <c r="M106" s="99">
        <f>F106/K106*100</f>
        <v>92.067490360980642</v>
      </c>
      <c r="N106" s="59">
        <f t="shared" ref="N106" si="48">N107+N108</f>
        <v>900214.41299999994</v>
      </c>
      <c r="O106" s="98">
        <f>F106-N106</f>
        <v>-629818.40099999995</v>
      </c>
      <c r="P106" s="99">
        <f>F106/N106*100</f>
        <v>30.036845455394857</v>
      </c>
      <c r="Q106" s="99">
        <f t="shared" si="43"/>
        <v>29.936643871598513</v>
      </c>
      <c r="R106" s="50">
        <f t="shared" ref="R106" si="49">R107+R108</f>
        <v>218031.98200000002</v>
      </c>
      <c r="S106" s="98">
        <f>F106-R106</f>
        <v>52364.02999999997</v>
      </c>
      <c r="T106" s="99">
        <f>F106/R106*100</f>
        <v>124.01667384741748</v>
      </c>
    </row>
    <row r="107" spans="1:22" s="194" customFormat="1" ht="23.25" hidden="1" x14ac:dyDescent="0.35">
      <c r="A107" s="192"/>
      <c r="B107" s="193" t="s">
        <v>110</v>
      </c>
      <c r="C107" s="193"/>
      <c r="D107" s="139">
        <f>D63+D90</f>
        <v>878600.29999999993</v>
      </c>
      <c r="E107" s="139" t="e">
        <f>E63+E90</f>
        <v>#REF!</v>
      </c>
      <c r="F107" s="142">
        <f t="shared" si="33"/>
        <v>263550.8</v>
      </c>
      <c r="G107" s="139">
        <f>G63+G90</f>
        <v>65887.7</v>
      </c>
      <c r="H107" s="139">
        <f>H63+H90</f>
        <v>65887.7</v>
      </c>
      <c r="I107" s="139">
        <f>I63+I90</f>
        <v>65887.7</v>
      </c>
      <c r="J107" s="139">
        <f>J63+J90</f>
        <v>65887.7</v>
      </c>
      <c r="K107" s="139">
        <f>K63+K90</f>
        <v>286467</v>
      </c>
      <c r="L107" s="136">
        <f>F107-K107</f>
        <v>-22916.200000000012</v>
      </c>
      <c r="M107" s="137">
        <f>F107/K107*100</f>
        <v>92.00040493320347</v>
      </c>
      <c r="N107" s="139">
        <f>N63+N90</f>
        <v>878600.29999999993</v>
      </c>
      <c r="O107" s="136">
        <f>F107-N107</f>
        <v>-615049.5</v>
      </c>
      <c r="P107" s="137">
        <f>F107/N107*100</f>
        <v>29.996666288413515</v>
      </c>
      <c r="Q107" s="137">
        <f t="shared" si="43"/>
        <v>29.996666288413515</v>
      </c>
      <c r="R107" s="142">
        <f>R63+R90</f>
        <v>208331.6</v>
      </c>
      <c r="S107" s="136">
        <f>F107-R107</f>
        <v>55219.199999999983</v>
      </c>
      <c r="T107" s="137">
        <f>F107/R107*100</f>
        <v>126.50543652523187</v>
      </c>
    </row>
    <row r="108" spans="1:22" s="194" customFormat="1" ht="23.25" hidden="1" x14ac:dyDescent="0.35">
      <c r="A108" s="192"/>
      <c r="B108" s="193" t="s">
        <v>109</v>
      </c>
      <c r="C108" s="193"/>
      <c r="D108" s="139">
        <f>D91+D64</f>
        <v>24627.24</v>
      </c>
      <c r="E108" s="139">
        <f>E91+E64</f>
        <v>26319.402000000002</v>
      </c>
      <c r="F108" s="142">
        <f t="shared" si="33"/>
        <v>6845.2119999999995</v>
      </c>
      <c r="G108" s="139">
        <f>G91+G64</f>
        <v>1373.8319999999999</v>
      </c>
      <c r="H108" s="139">
        <f>H91+H64</f>
        <v>1590.57</v>
      </c>
      <c r="I108" s="139">
        <f>I91+I64</f>
        <v>1523.86</v>
      </c>
      <c r="J108" s="139">
        <f>J91+J64</f>
        <v>2356.9499999999998</v>
      </c>
      <c r="K108" s="139">
        <f>K91+K64</f>
        <v>7226.2579999999998</v>
      </c>
      <c r="L108" s="136">
        <f>F108-K108</f>
        <v>-381.04600000000028</v>
      </c>
      <c r="M108" s="137">
        <f>F108/K108*100</f>
        <v>94.726925055817262</v>
      </c>
      <c r="N108" s="139">
        <f>N91+N64</f>
        <v>21614.113000000001</v>
      </c>
      <c r="O108" s="136">
        <f>F108-N108</f>
        <v>-14768.901000000002</v>
      </c>
      <c r="P108" s="137">
        <f>F108/N108*100</f>
        <v>31.67010369567328</v>
      </c>
      <c r="Q108" s="137">
        <f t="shared" si="43"/>
        <v>27.795286844973287</v>
      </c>
      <c r="R108" s="142">
        <f>R91+R64</f>
        <v>9700.3820000000014</v>
      </c>
      <c r="S108" s="136">
        <f>F108-R108</f>
        <v>-2855.1700000000019</v>
      </c>
      <c r="T108" s="137">
        <f>F108/R108*100</f>
        <v>70.566416868943904</v>
      </c>
    </row>
    <row r="109" spans="1:22" s="8" customFormat="1" ht="23.25" hidden="1" x14ac:dyDescent="0.25">
      <c r="A109" s="28"/>
      <c r="B109" s="46"/>
      <c r="C109" s="17"/>
      <c r="D109" s="139"/>
      <c r="E109" s="139"/>
      <c r="F109" s="142"/>
      <c r="G109" s="139"/>
      <c r="H109" s="139"/>
      <c r="I109" s="139"/>
      <c r="J109" s="139"/>
      <c r="K109" s="139"/>
      <c r="L109" s="136"/>
      <c r="M109" s="137"/>
      <c r="N109" s="139"/>
      <c r="O109" s="136"/>
      <c r="P109" s="137"/>
      <c r="Q109" s="137"/>
      <c r="R109" s="142"/>
      <c r="S109" s="136"/>
      <c r="T109" s="137"/>
    </row>
    <row r="110" spans="1:22" s="174" customFormat="1" ht="48.75" hidden="1" customHeight="1" x14ac:dyDescent="0.3">
      <c r="A110" s="183"/>
      <c r="B110" s="168" t="s">
        <v>160</v>
      </c>
      <c r="C110" s="175"/>
      <c r="D110" s="170">
        <f>D97+D105</f>
        <v>5493661.4369999999</v>
      </c>
      <c r="E110" s="170" t="e">
        <f>E97+E105</f>
        <v>#REF!</v>
      </c>
      <c r="F110" s="170">
        <f t="shared" si="33"/>
        <v>1639958.585</v>
      </c>
      <c r="G110" s="170">
        <f>G97+G105</f>
        <v>388043.02200000011</v>
      </c>
      <c r="H110" s="170">
        <f>H97+H105</f>
        <v>469695.80799999996</v>
      </c>
      <c r="I110" s="170">
        <f>I97+I105</f>
        <v>381084.42200000002</v>
      </c>
      <c r="J110" s="170">
        <f>J97+J105</f>
        <v>401135.33299999998</v>
      </c>
      <c r="K110" s="170">
        <f>K97+K105</f>
        <v>1635681.4680000001</v>
      </c>
      <c r="L110" s="171">
        <f>F110-K110</f>
        <v>4277.1169999998529</v>
      </c>
      <c r="M110" s="172">
        <f>F110/K110*100</f>
        <v>100.26148838167308</v>
      </c>
      <c r="N110" s="170">
        <f>N93+N66</f>
        <v>2449692.3786666668</v>
      </c>
      <c r="O110" s="171">
        <f>F110-N110</f>
        <v>-809733.79366666684</v>
      </c>
      <c r="P110" s="172">
        <f>F110/N110*100</f>
        <v>66.94549075964413</v>
      </c>
      <c r="Q110" s="172">
        <f t="shared" si="43"/>
        <v>29.85183203964522</v>
      </c>
      <c r="R110" s="170">
        <f>R97+R105</f>
        <v>1400395.7279999999</v>
      </c>
      <c r="S110" s="171">
        <f>F110-R110</f>
        <v>239562.85700000008</v>
      </c>
      <c r="T110" s="172">
        <f>F110/R110*100</f>
        <v>117.1067971866878</v>
      </c>
      <c r="U110" s="170">
        <v>1400395.7279999999</v>
      </c>
      <c r="V110" s="170">
        <f>U110-R110</f>
        <v>0</v>
      </c>
    </row>
    <row r="111" spans="1:22" s="60" customFormat="1" ht="22.5" hidden="1" x14ac:dyDescent="0.3">
      <c r="A111" s="62"/>
      <c r="B111" s="57"/>
      <c r="C111" s="58"/>
      <c r="D111" s="209"/>
      <c r="E111" s="209"/>
      <c r="F111" s="210"/>
      <c r="G111" s="209"/>
      <c r="H111" s="209"/>
      <c r="I111" s="209"/>
      <c r="J111" s="209"/>
      <c r="K111" s="209"/>
      <c r="L111" s="98"/>
      <c r="M111" s="99"/>
      <c r="N111" s="59"/>
      <c r="O111" s="98"/>
      <c r="P111" s="99"/>
      <c r="Q111" s="99"/>
      <c r="R111" s="210"/>
      <c r="S111" s="98"/>
      <c r="T111" s="99"/>
    </row>
    <row r="112" spans="1:22" s="60" customFormat="1" ht="86.25" hidden="1" customHeight="1" x14ac:dyDescent="0.3">
      <c r="A112" s="62"/>
      <c r="B112" s="125" t="s">
        <v>79</v>
      </c>
      <c r="C112" s="58"/>
      <c r="D112" s="59">
        <f>D66+D95</f>
        <v>5399224.4249999989</v>
      </c>
      <c r="E112" s="59">
        <f t="shared" si="32"/>
        <v>5399224.4249999989</v>
      </c>
      <c r="F112" s="50">
        <f t="shared" si="33"/>
        <v>1610901.56</v>
      </c>
      <c r="G112" s="59">
        <f>G66+G95</f>
        <v>381182.63100000005</v>
      </c>
      <c r="H112" s="59">
        <f>H66+H95</f>
        <v>461924.00200000004</v>
      </c>
      <c r="I112" s="59">
        <f>I66+I95</f>
        <v>369919.56099999999</v>
      </c>
      <c r="J112" s="59">
        <f>J66+J95</f>
        <v>397875.36599999998</v>
      </c>
      <c r="K112" s="59">
        <f>K66+K95</f>
        <v>1604202.4640000002</v>
      </c>
      <c r="L112" s="98">
        <f>F112-K112</f>
        <v>6699.0959999999031</v>
      </c>
      <c r="M112" s="99">
        <f>F112/K112*100</f>
        <v>100.4175966656538</v>
      </c>
      <c r="N112" s="59">
        <f>N66+N95</f>
        <v>2418213.3746666671</v>
      </c>
      <c r="O112" s="98">
        <f>F112-N112</f>
        <v>-807311.81466666702</v>
      </c>
      <c r="P112" s="99">
        <f>F112/N112*100</f>
        <v>66.615360616060244</v>
      </c>
      <c r="Q112" s="99">
        <f t="shared" si="43"/>
        <v>29.835795536504307</v>
      </c>
      <c r="R112" s="50">
        <f>R66+R95</f>
        <v>1376234.8939999999</v>
      </c>
      <c r="S112" s="98">
        <f>F112-R112</f>
        <v>234666.6660000002</v>
      </c>
      <c r="T112" s="99">
        <f>F112/R112*100</f>
        <v>117.05135271769966</v>
      </c>
    </row>
    <row r="113" spans="1:20" s="15" customFormat="1" ht="3.75" hidden="1" customHeight="1" x14ac:dyDescent="0.3">
      <c r="A113" s="37"/>
      <c r="B113" s="38"/>
      <c r="C113" s="39"/>
      <c r="D113" s="39"/>
      <c r="E113" s="40"/>
      <c r="F113" s="110"/>
      <c r="G113" s="40"/>
      <c r="H113" s="40"/>
      <c r="I113" s="40"/>
      <c r="J113" s="40"/>
      <c r="K113" s="40"/>
      <c r="L113" s="101"/>
      <c r="M113" s="102"/>
      <c r="N113" s="40"/>
      <c r="O113" s="101"/>
      <c r="P113" s="102"/>
      <c r="Q113" s="102"/>
      <c r="R113" s="110"/>
      <c r="S113" s="101"/>
      <c r="T113" s="102"/>
    </row>
    <row r="114" spans="1:20" s="15" customFormat="1" ht="144" hidden="1" customHeight="1" x14ac:dyDescent="0.4">
      <c r="A114" s="37"/>
      <c r="B114" s="22" t="s">
        <v>99</v>
      </c>
      <c r="C114" s="22"/>
      <c r="D114" s="22"/>
      <c r="E114" s="22"/>
      <c r="F114" s="22" t="s">
        <v>100</v>
      </c>
      <c r="G114" s="22"/>
      <c r="H114" s="22"/>
      <c r="I114" s="22"/>
      <c r="J114" s="22"/>
      <c r="K114" s="40"/>
      <c r="L114" s="101"/>
      <c r="M114" s="102"/>
      <c r="N114" s="40"/>
      <c r="O114" s="101"/>
      <c r="P114" s="102"/>
      <c r="Q114" s="102"/>
      <c r="R114" s="22"/>
      <c r="S114" s="101"/>
      <c r="T114" s="102"/>
    </row>
    <row r="115" spans="1:20" s="8" customFormat="1" ht="18" hidden="1" customHeight="1" x14ac:dyDescent="0.45">
      <c r="A115" s="6"/>
      <c r="B115" s="31" t="s">
        <v>54</v>
      </c>
      <c r="C115" s="19"/>
      <c r="D115" s="19"/>
      <c r="E115" s="19"/>
      <c r="F115" s="21"/>
      <c r="G115" s="21"/>
      <c r="H115" s="21"/>
      <c r="I115" s="21"/>
      <c r="J115" s="21"/>
      <c r="K115" s="7"/>
      <c r="L115" s="103"/>
      <c r="M115" s="104"/>
      <c r="N115" s="7"/>
      <c r="O115" s="103"/>
      <c r="P115" s="104"/>
      <c r="Q115" s="104"/>
      <c r="R115" s="21"/>
      <c r="S115" s="103"/>
      <c r="T115" s="104"/>
    </row>
    <row r="116" spans="1:20" s="8" customFormat="1" ht="30.75" hidden="1" x14ac:dyDescent="0.45">
      <c r="A116" s="6"/>
      <c r="B116" s="19"/>
      <c r="C116" s="19"/>
      <c r="D116" s="19"/>
      <c r="E116" s="152"/>
      <c r="F116" s="63"/>
      <c r="G116" s="21"/>
      <c r="H116" s="21"/>
      <c r="I116" s="21"/>
      <c r="J116" s="21"/>
      <c r="K116" s="7"/>
      <c r="L116" s="103"/>
      <c r="M116" s="104"/>
      <c r="N116" s="7"/>
      <c r="O116" s="103"/>
      <c r="P116" s="104"/>
      <c r="Q116" s="104"/>
      <c r="R116" s="63"/>
      <c r="S116" s="103"/>
      <c r="T116" s="104"/>
    </row>
    <row r="117" spans="1:20" s="4" customFormat="1" ht="30.75" hidden="1" x14ac:dyDescent="0.45">
      <c r="A117" s="29"/>
      <c r="B117" s="19"/>
      <c r="C117" s="19"/>
      <c r="D117" s="122">
        <v>5493661.4369999999</v>
      </c>
      <c r="E117" s="122">
        <v>4242798.9189999998</v>
      </c>
      <c r="F117" s="69">
        <v>1639958.585</v>
      </c>
      <c r="G117" s="69">
        <v>388043.022</v>
      </c>
      <c r="H117" s="69">
        <v>469695.80800000002</v>
      </c>
      <c r="I117" s="69">
        <v>381084.42200000002</v>
      </c>
      <c r="J117" s="69">
        <v>401135.33299999998</v>
      </c>
      <c r="K117" s="69">
        <v>1635681.4680000001</v>
      </c>
      <c r="L117" s="5"/>
      <c r="M117" s="5"/>
      <c r="N117" s="22"/>
      <c r="O117" s="5"/>
      <c r="P117" s="5"/>
      <c r="Q117" s="5"/>
      <c r="R117" s="69"/>
      <c r="S117" s="5"/>
    </row>
    <row r="118" spans="1:20" ht="12" hidden="1" customHeight="1" x14ac:dyDescent="0.45">
      <c r="B118" s="31"/>
      <c r="C118" s="21"/>
      <c r="D118" s="21"/>
      <c r="E118" s="21"/>
      <c r="F118" s="63"/>
      <c r="G118" s="63"/>
      <c r="H118" s="21"/>
      <c r="I118" s="21"/>
      <c r="J118" s="21"/>
      <c r="R118" s="63"/>
    </row>
    <row r="119" spans="1:20" s="2" customFormat="1" ht="30.75" hidden="1" customHeight="1" x14ac:dyDescent="0.45">
      <c r="A119" s="30"/>
      <c r="B119" s="19"/>
      <c r="C119" s="19"/>
      <c r="D119" s="19"/>
      <c r="E119" s="19"/>
      <c r="F119" s="63"/>
      <c r="G119" s="63"/>
      <c r="H119" s="21"/>
      <c r="I119" s="21"/>
      <c r="J119" s="21"/>
      <c r="L119" s="211"/>
      <c r="M119" s="211"/>
      <c r="N119" s="211"/>
      <c r="O119" s="211"/>
      <c r="P119" s="211"/>
      <c r="Q119" s="211"/>
      <c r="R119" s="63"/>
      <c r="S119" s="211"/>
    </row>
    <row r="120" spans="1:20" s="2" customFormat="1" ht="30.75" hidden="1" customHeight="1" x14ac:dyDescent="0.45">
      <c r="A120" s="30"/>
      <c r="B120" s="19"/>
      <c r="C120" s="19"/>
      <c r="D120" s="19"/>
      <c r="E120" s="19"/>
      <c r="F120" s="63"/>
      <c r="G120" s="63"/>
      <c r="H120" s="21"/>
      <c r="I120" s="21"/>
      <c r="J120" s="21"/>
      <c r="L120" s="211"/>
      <c r="M120" s="211"/>
      <c r="N120" s="211"/>
      <c r="O120" s="211"/>
      <c r="P120" s="211"/>
      <c r="Q120" s="211"/>
      <c r="R120" s="63"/>
      <c r="S120" s="211"/>
    </row>
    <row r="121" spans="1:20" s="2" customFormat="1" ht="16.5" hidden="1" customHeight="1" x14ac:dyDescent="0.45">
      <c r="A121" s="30"/>
      <c r="B121" s="31"/>
      <c r="C121" s="21"/>
      <c r="D121" s="21"/>
      <c r="E121" s="21"/>
      <c r="F121" s="63"/>
      <c r="G121" s="63"/>
      <c r="H121" s="21"/>
      <c r="I121" s="21"/>
      <c r="J121" s="21"/>
      <c r="L121" s="211"/>
      <c r="M121" s="211"/>
      <c r="N121" s="211"/>
      <c r="O121" s="211"/>
      <c r="P121" s="211"/>
      <c r="Q121" s="211"/>
      <c r="R121" s="63"/>
      <c r="S121" s="211"/>
    </row>
    <row r="122" spans="1:20" ht="18.75" hidden="1" x14ac:dyDescent="0.3">
      <c r="B122" s="29"/>
      <c r="D122" s="122">
        <f>D117-D110</f>
        <v>0</v>
      </c>
      <c r="E122" s="122" t="e">
        <f t="shared" ref="E122:K122" si="50">E117-E110</f>
        <v>#REF!</v>
      </c>
      <c r="F122" s="122">
        <f t="shared" si="50"/>
        <v>0</v>
      </c>
      <c r="G122" s="122">
        <f t="shared" si="50"/>
        <v>0</v>
      </c>
      <c r="H122" s="122">
        <f t="shared" si="50"/>
        <v>0</v>
      </c>
      <c r="I122" s="122">
        <f t="shared" si="50"/>
        <v>0</v>
      </c>
      <c r="J122" s="122">
        <f t="shared" si="50"/>
        <v>0</v>
      </c>
      <c r="K122" s="122">
        <f t="shared" si="50"/>
        <v>0</v>
      </c>
      <c r="L122" s="234" t="s">
        <v>51</v>
      </c>
      <c r="M122" s="234"/>
      <c r="N122" s="106">
        <f>D47/12*4</f>
        <v>1463153.3283333331</v>
      </c>
      <c r="R122" s="122"/>
    </row>
    <row r="123" spans="1:20" ht="18.75" hidden="1" x14ac:dyDescent="0.3">
      <c r="B123" s="29"/>
      <c r="K123" s="124"/>
      <c r="L123" s="211"/>
      <c r="M123" s="211"/>
      <c r="N123" s="106">
        <f>N122-N47</f>
        <v>0</v>
      </c>
    </row>
    <row r="124" spans="1:20" ht="18.75" hidden="1" x14ac:dyDescent="0.3">
      <c r="B124" s="4"/>
      <c r="C124" s="3"/>
      <c r="D124" s="3"/>
      <c r="E124" s="123">
        <v>4242798.9189999998</v>
      </c>
      <c r="F124" s="123"/>
      <c r="L124" s="234" t="s">
        <v>52</v>
      </c>
      <c r="M124" s="234"/>
      <c r="N124" s="105">
        <f>D83/12*4</f>
        <v>57324.637333333339</v>
      </c>
      <c r="R124" s="123"/>
    </row>
    <row r="125" spans="1:20" ht="18.75" hidden="1" x14ac:dyDescent="0.3">
      <c r="B125" s="4"/>
      <c r="C125" s="3"/>
      <c r="D125" s="3"/>
      <c r="E125" s="3"/>
      <c r="F125" s="3"/>
      <c r="L125" s="211"/>
      <c r="M125" s="211"/>
      <c r="N125" s="106">
        <f>N124-N83</f>
        <v>0</v>
      </c>
      <c r="R125" s="3"/>
    </row>
    <row r="126" spans="1:20" ht="22.5" hidden="1" x14ac:dyDescent="0.3">
      <c r="B126" s="4"/>
      <c r="C126" s="3"/>
      <c r="D126" s="3"/>
      <c r="E126" s="153"/>
      <c r="F126" s="153"/>
      <c r="L126" s="234" t="s">
        <v>53</v>
      </c>
      <c r="M126" s="234"/>
      <c r="N126" s="106">
        <f>N124+N89</f>
        <v>80240.837333333344</v>
      </c>
      <c r="R126" s="153"/>
    </row>
    <row r="127" spans="1:20" ht="18.75" hidden="1" x14ac:dyDescent="0.3">
      <c r="B127" s="4"/>
      <c r="C127" s="3"/>
      <c r="D127" s="3"/>
      <c r="E127" s="3"/>
      <c r="L127" s="211"/>
      <c r="M127" s="211"/>
      <c r="N127" s="106">
        <f>N126-N93</f>
        <v>0</v>
      </c>
    </row>
    <row r="128" spans="1:20" ht="18.75" hidden="1" x14ac:dyDescent="0.3">
      <c r="B128" s="4"/>
      <c r="C128" s="3"/>
      <c r="D128" s="3"/>
      <c r="E128" s="3"/>
    </row>
    <row r="129" spans="1:45" ht="18.75" hidden="1" x14ac:dyDescent="0.3">
      <c r="B129" s="155"/>
      <c r="C129" s="3"/>
      <c r="D129" s="3"/>
      <c r="E129" s="3"/>
    </row>
    <row r="130" spans="1:45" ht="18.75" hidden="1" x14ac:dyDescent="0.3">
      <c r="B130" s="4"/>
      <c r="C130" s="3"/>
      <c r="D130" s="3"/>
      <c r="E130" s="3"/>
    </row>
    <row r="131" spans="1:45" s="20" customFormat="1" ht="18.75" hidden="1" x14ac:dyDescent="0.3">
      <c r="B131" s="4"/>
      <c r="C131" s="3"/>
      <c r="D131" s="3"/>
      <c r="E131" s="3"/>
      <c r="F131" s="33"/>
      <c r="G131" s="3"/>
      <c r="H131" s="3"/>
      <c r="I131" s="3"/>
      <c r="J131" s="3"/>
      <c r="K131" s="3"/>
      <c r="L131" s="1"/>
      <c r="M131" s="1"/>
      <c r="N131" s="1"/>
      <c r="O131" s="1"/>
      <c r="P131" s="1"/>
      <c r="Q131" s="1"/>
      <c r="R131" s="33"/>
      <c r="S131" s="1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s="20" customFormat="1" ht="18.75" hidden="1" x14ac:dyDescent="0.3">
      <c r="B132" s="4"/>
      <c r="C132" s="3"/>
      <c r="D132" s="3"/>
      <c r="E132" s="123"/>
      <c r="F132" s="156"/>
      <c r="G132" s="3"/>
      <c r="H132" s="3"/>
      <c r="I132" s="3"/>
      <c r="J132" s="3"/>
      <c r="K132" s="3"/>
      <c r="L132" s="1"/>
      <c r="M132" s="1"/>
      <c r="N132" s="1"/>
      <c r="O132" s="1"/>
      <c r="P132" s="1"/>
      <c r="Q132" s="1"/>
      <c r="R132" s="156"/>
      <c r="S132" s="1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s="20" customFormat="1" ht="18.75" hidden="1" x14ac:dyDescent="0.3">
      <c r="B133" s="4"/>
      <c r="C133" s="3"/>
      <c r="D133" s="157"/>
      <c r="E133" s="3"/>
      <c r="F133" s="33"/>
      <c r="G133" s="3"/>
      <c r="H133" s="3"/>
      <c r="I133" s="3"/>
      <c r="J133" s="3"/>
      <c r="K133" s="3"/>
      <c r="L133" s="1"/>
      <c r="M133" s="1"/>
      <c r="N133" s="1"/>
      <c r="O133" s="1"/>
      <c r="P133" s="1"/>
      <c r="Q133" s="1"/>
      <c r="R133" s="33"/>
      <c r="S133" s="1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s="95" customFormat="1" ht="55.5" customHeight="1" x14ac:dyDescent="0.3">
      <c r="A134" s="90"/>
      <c r="B134" s="91" t="s">
        <v>185</v>
      </c>
      <c r="C134" s="92"/>
      <c r="D134" s="92">
        <f>D47</f>
        <v>4389459.9849999994</v>
      </c>
      <c r="E134" s="92"/>
      <c r="F134" s="92">
        <f>F47</f>
        <v>1311227.223</v>
      </c>
      <c r="G134" s="92"/>
      <c r="H134" s="92"/>
      <c r="I134" s="92"/>
      <c r="J134" s="92"/>
      <c r="K134" s="92">
        <f t="shared" ref="K134:Q134" si="51">K47</f>
        <v>1282452.219</v>
      </c>
      <c r="L134" s="93">
        <f t="shared" si="51"/>
        <v>28775.003999999957</v>
      </c>
      <c r="M134" s="94">
        <f t="shared" si="51"/>
        <v>102.24374862265336</v>
      </c>
      <c r="N134" s="92">
        <f t="shared" si="51"/>
        <v>1463153.3283333336</v>
      </c>
      <c r="O134" s="93">
        <f t="shared" si="51"/>
        <v>-151926.1053333336</v>
      </c>
      <c r="P134" s="94">
        <f t="shared" si="51"/>
        <v>89.616528740265963</v>
      </c>
      <c r="Q134" s="94">
        <f t="shared" si="51"/>
        <v>29.872176246755334</v>
      </c>
      <c r="R134" s="92">
        <f>R47-R7+R8</f>
        <v>1177394.3611999999</v>
      </c>
      <c r="S134" s="93">
        <f>F134-R134</f>
        <v>133832.86180000007</v>
      </c>
      <c r="T134" s="94">
        <f>F134/R134*100</f>
        <v>111.36686790852282</v>
      </c>
      <c r="U134" s="96"/>
      <c r="V134" s="96"/>
      <c r="Y134" s="96"/>
    </row>
    <row r="135" spans="1:45" s="20" customFormat="1" ht="18.75" x14ac:dyDescent="0.3">
      <c r="B135" s="4"/>
      <c r="C135" s="3"/>
      <c r="D135" s="3"/>
      <c r="E135" s="3"/>
      <c r="F135" s="33"/>
      <c r="G135" s="3"/>
      <c r="H135" s="3"/>
      <c r="I135" s="3"/>
      <c r="J135" s="3"/>
      <c r="K135" s="3"/>
      <c r="L135" s="1"/>
      <c r="M135" s="1"/>
      <c r="N135" s="1"/>
      <c r="O135" s="1"/>
      <c r="P135" s="1"/>
      <c r="Q135" s="1"/>
      <c r="R135" s="33"/>
      <c r="S135" s="1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s="20" customFormat="1" ht="22.5" x14ac:dyDescent="0.3">
      <c r="B136" s="4"/>
      <c r="C136" s="3"/>
      <c r="D136" s="154"/>
      <c r="E136" s="3"/>
      <c r="F136" s="33"/>
      <c r="G136" s="3"/>
      <c r="H136" s="3"/>
      <c r="I136" s="3"/>
      <c r="J136" s="3"/>
      <c r="K136" s="3"/>
      <c r="L136" s="1"/>
      <c r="M136" s="1"/>
      <c r="N136" s="1"/>
      <c r="O136" s="1"/>
      <c r="P136" s="1"/>
      <c r="Q136" s="1"/>
      <c r="R136" s="33"/>
      <c r="S136" s="1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s="20" customFormat="1" ht="18.75" x14ac:dyDescent="0.3">
      <c r="B137" s="4"/>
      <c r="C137" s="3"/>
      <c r="D137" s="3"/>
      <c r="E137" s="3"/>
      <c r="F137" s="156"/>
      <c r="G137" s="3"/>
      <c r="H137" s="3"/>
      <c r="I137" s="3"/>
      <c r="J137" s="3"/>
      <c r="K137" s="3"/>
      <c r="L137" s="1"/>
      <c r="M137" s="1"/>
      <c r="N137" s="1"/>
      <c r="O137" s="1"/>
      <c r="P137" s="1"/>
      <c r="Q137" s="1"/>
      <c r="R137" s="156"/>
      <c r="S137" s="1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s="20" customFormat="1" ht="18.75" x14ac:dyDescent="0.3">
      <c r="B138" s="4"/>
      <c r="C138" s="3"/>
      <c r="D138" s="3"/>
      <c r="E138" s="3"/>
      <c r="F138" s="33"/>
      <c r="G138" s="3"/>
      <c r="H138" s="3"/>
      <c r="I138" s="3"/>
      <c r="J138" s="3"/>
      <c r="K138" s="3"/>
      <c r="L138" s="1"/>
      <c r="M138" s="1"/>
      <c r="N138" s="1"/>
      <c r="O138" s="1"/>
      <c r="P138" s="1"/>
      <c r="Q138" s="1"/>
      <c r="R138" s="33"/>
      <c r="S138" s="1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s="20" customFormat="1" ht="18.75" x14ac:dyDescent="0.3">
      <c r="B139" s="4"/>
      <c r="C139" s="3"/>
      <c r="D139" s="3"/>
      <c r="E139" s="3"/>
      <c r="F139" s="33"/>
      <c r="G139" s="3"/>
      <c r="H139" s="3"/>
      <c r="I139" s="3"/>
      <c r="J139" s="3"/>
      <c r="K139" s="3"/>
      <c r="L139" s="1"/>
      <c r="M139" s="1"/>
      <c r="N139" s="1"/>
      <c r="O139" s="1"/>
      <c r="P139" s="1"/>
      <c r="Q139" s="1"/>
      <c r="R139" s="33"/>
      <c r="S139" s="1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s="20" customFormat="1" ht="18.75" x14ac:dyDescent="0.3">
      <c r="B140" s="29"/>
      <c r="F140" s="33"/>
      <c r="G140" s="3"/>
      <c r="H140" s="3"/>
      <c r="I140" s="3"/>
      <c r="J140" s="3"/>
      <c r="K140" s="3"/>
      <c r="L140" s="1"/>
      <c r="M140" s="1"/>
      <c r="N140" s="1"/>
      <c r="O140" s="1"/>
      <c r="P140" s="1"/>
      <c r="Q140" s="1"/>
      <c r="R140" s="33"/>
      <c r="S140" s="1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s="20" customFormat="1" ht="18.75" x14ac:dyDescent="0.3">
      <c r="B141" s="29"/>
      <c r="F141" s="33"/>
      <c r="G141" s="3"/>
      <c r="H141" s="3"/>
      <c r="I141" s="3"/>
      <c r="J141" s="3"/>
      <c r="K141" s="3"/>
      <c r="L141" s="1"/>
      <c r="M141" s="1"/>
      <c r="N141" s="1"/>
      <c r="O141" s="1"/>
      <c r="P141" s="1"/>
      <c r="Q141" s="1"/>
      <c r="R141" s="33"/>
      <c r="S141" s="1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</sheetData>
  <mergeCells count="29">
    <mergeCell ref="A7:A8"/>
    <mergeCell ref="C21:C23"/>
    <mergeCell ref="A67:T67"/>
    <mergeCell ref="A96:T96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S3:S4"/>
    <mergeCell ref="T3:T4"/>
    <mergeCell ref="R3:R4"/>
    <mergeCell ref="A6:T6"/>
    <mergeCell ref="J3:J4"/>
    <mergeCell ref="K3:K4"/>
    <mergeCell ref="L3:L4"/>
    <mergeCell ref="M3:M4"/>
    <mergeCell ref="N3:N4"/>
    <mergeCell ref="O3:O4"/>
    <mergeCell ref="L122:M122"/>
    <mergeCell ref="L124:M124"/>
    <mergeCell ref="L126:M126"/>
    <mergeCell ref="P3:P4"/>
    <mergeCell ref="Q3:Q4"/>
  </mergeCells>
  <printOptions horizontalCentered="1"/>
  <pageMargins left="0.39370078740157483" right="0" top="0" bottom="0" header="0.23622047244094491" footer="0.11811023622047245"/>
  <pageSetup paperSize="8" scale="50" fitToHeight="6" orientation="landscape" horizontalDpi="300" verticalDpi="300" r:id="rId1"/>
  <headerFooter alignWithMargins="0"/>
  <rowBreaks count="1" manualBreakCount="1">
    <brk id="85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showGridLines="0" view="pageBreakPreview" zoomScale="60" zoomScaleNormal="75" workbookViewId="0">
      <pane xSplit="3" ySplit="6" topLeftCell="E40" activePane="bottomRight" state="frozen"/>
      <selection activeCell="P126" sqref="P126"/>
      <selection pane="topRight" activeCell="P126" sqref="P126"/>
      <selection pane="bottomLeft" activeCell="P126" sqref="P126"/>
      <selection pane="bottomRight" activeCell="P126" sqref="P126"/>
    </sheetView>
  </sheetViews>
  <sheetFormatPr defaultRowHeight="12.75" x14ac:dyDescent="0.2"/>
  <cols>
    <col min="1" max="1" width="12.28515625" style="20" customWidth="1"/>
    <col min="2" max="2" width="70.28515625" style="20" customWidth="1"/>
    <col min="3" max="3" width="16.140625" style="20" customWidth="1"/>
    <col min="4" max="4" width="23.5703125" style="20" hidden="1" customWidth="1"/>
    <col min="5" max="5" width="27.28515625" style="20" customWidth="1"/>
    <col min="6" max="6" width="23.140625" style="33" customWidth="1"/>
    <col min="7" max="11" width="21.28515625" style="3" hidden="1" customWidth="1"/>
    <col min="12" max="12" width="24" style="3" customWidth="1"/>
    <col min="13" max="13" width="22.5703125" style="1" customWidth="1"/>
    <col min="14" max="14" width="14.140625" style="1" bestFit="1" customWidth="1"/>
    <col min="15" max="15" width="23.85546875" style="1" customWidth="1"/>
    <col min="16" max="16" width="25.7109375" style="1" customWidth="1"/>
    <col min="17" max="17" width="14.7109375" style="1" bestFit="1" customWidth="1"/>
    <col min="18" max="18" width="16.140625" style="1" customWidth="1"/>
    <col min="19" max="19" width="23.140625" style="33" customWidth="1"/>
    <col min="20" max="20" width="21.85546875" style="1" customWidth="1"/>
    <col min="21" max="21" width="14.7109375" style="3" bestFit="1" customWidth="1"/>
    <col min="22" max="22" width="17.85546875" style="3" hidden="1" customWidth="1"/>
    <col min="23" max="23" width="24.140625" style="3" bestFit="1" customWidth="1"/>
    <col min="24" max="24" width="19.140625" style="3" bestFit="1" customWidth="1"/>
    <col min="25" max="25" width="15.85546875" style="3" bestFit="1" customWidth="1"/>
    <col min="26" max="26" width="9.140625" style="3"/>
    <col min="27" max="27" width="24.140625" style="3" bestFit="1" customWidth="1"/>
    <col min="28" max="28" width="9.140625" style="3"/>
    <col min="29" max="29" width="15.140625" style="3" bestFit="1" customWidth="1"/>
    <col min="30" max="16384" width="9.140625" style="3"/>
  </cols>
  <sheetData>
    <row r="1" spans="1:37" ht="30" customHeight="1" x14ac:dyDescent="0.2">
      <c r="A1" s="231" t="s">
        <v>255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</row>
    <row r="2" spans="1:37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L2" s="107"/>
      <c r="S2" s="107"/>
      <c r="T2" s="5" t="s">
        <v>14</v>
      </c>
      <c r="U2" s="5"/>
      <c r="V2" s="5"/>
    </row>
    <row r="3" spans="1:37" s="73" customFormat="1" ht="15" customHeight="1" x14ac:dyDescent="0.25">
      <c r="A3" s="232" t="s">
        <v>0</v>
      </c>
      <c r="B3" s="233" t="s">
        <v>1</v>
      </c>
      <c r="C3" s="233" t="s">
        <v>2</v>
      </c>
      <c r="D3" s="229" t="s">
        <v>167</v>
      </c>
      <c r="E3" s="229" t="s">
        <v>254</v>
      </c>
      <c r="F3" s="230" t="s">
        <v>239</v>
      </c>
      <c r="G3" s="229" t="s">
        <v>65</v>
      </c>
      <c r="H3" s="229" t="s">
        <v>187</v>
      </c>
      <c r="I3" s="229" t="s">
        <v>214</v>
      </c>
      <c r="J3" s="229" t="s">
        <v>238</v>
      </c>
      <c r="K3" s="229" t="s">
        <v>238</v>
      </c>
      <c r="L3" s="229" t="s">
        <v>240</v>
      </c>
      <c r="M3" s="229" t="s">
        <v>241</v>
      </c>
      <c r="N3" s="229" t="s">
        <v>3</v>
      </c>
      <c r="O3" s="229" t="s">
        <v>242</v>
      </c>
      <c r="P3" s="229" t="s">
        <v>243</v>
      </c>
      <c r="Q3" s="229" t="s">
        <v>3</v>
      </c>
      <c r="R3" s="222" t="s">
        <v>246</v>
      </c>
      <c r="S3" s="230" t="s">
        <v>244</v>
      </c>
      <c r="T3" s="229" t="s">
        <v>245</v>
      </c>
      <c r="U3" s="229" t="s">
        <v>3</v>
      </c>
      <c r="V3" s="222" t="s">
        <v>256</v>
      </c>
    </row>
    <row r="4" spans="1:37" s="73" customFormat="1" ht="79.5" customHeight="1" x14ac:dyDescent="0.25">
      <c r="A4" s="232"/>
      <c r="B4" s="233"/>
      <c r="C4" s="233"/>
      <c r="D4" s="229"/>
      <c r="E4" s="229"/>
      <c r="F4" s="230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2"/>
      <c r="S4" s="230"/>
      <c r="T4" s="229"/>
      <c r="U4" s="229"/>
      <c r="V4" s="222"/>
    </row>
    <row r="5" spans="1:37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v>4</v>
      </c>
      <c r="F5" s="76">
        <f t="shared" ref="F5:U5" si="0">E5+1</f>
        <v>5</v>
      </c>
      <c r="G5" s="75">
        <f t="shared" si="0"/>
        <v>6</v>
      </c>
      <c r="H5" s="75">
        <f t="shared" si="0"/>
        <v>7</v>
      </c>
      <c r="I5" s="75">
        <f t="shared" si="0"/>
        <v>8</v>
      </c>
      <c r="J5" s="75">
        <f t="shared" si="0"/>
        <v>9</v>
      </c>
      <c r="K5" s="75">
        <f t="shared" si="0"/>
        <v>10</v>
      </c>
      <c r="L5" s="75">
        <v>6</v>
      </c>
      <c r="M5" s="75">
        <f t="shared" si="0"/>
        <v>7</v>
      </c>
      <c r="N5" s="75">
        <f t="shared" si="0"/>
        <v>8</v>
      </c>
      <c r="O5" s="75">
        <f t="shared" si="0"/>
        <v>9</v>
      </c>
      <c r="P5" s="75">
        <f t="shared" si="0"/>
        <v>10</v>
      </c>
      <c r="Q5" s="75">
        <f t="shared" si="0"/>
        <v>11</v>
      </c>
      <c r="R5" s="75">
        <f t="shared" si="0"/>
        <v>12</v>
      </c>
      <c r="S5" s="76">
        <f t="shared" si="0"/>
        <v>13</v>
      </c>
      <c r="T5" s="75">
        <f t="shared" si="0"/>
        <v>14</v>
      </c>
      <c r="U5" s="75">
        <f t="shared" si="0"/>
        <v>15</v>
      </c>
      <c r="V5" s="75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</row>
    <row r="6" spans="1:37" s="79" customFormat="1" ht="26.25" customHeight="1" x14ac:dyDescent="0.2">
      <c r="A6" s="248" t="s">
        <v>6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06"/>
    </row>
    <row r="7" spans="1:37" s="84" customFormat="1" ht="38.25" customHeight="1" x14ac:dyDescent="0.25">
      <c r="A7" s="246">
        <v>1</v>
      </c>
      <c r="B7" s="89" t="s">
        <v>70</v>
      </c>
      <c r="C7" s="81" t="s">
        <v>15</v>
      </c>
      <c r="D7" s="128">
        <v>2859393.46</v>
      </c>
      <c r="E7" s="128">
        <f>D7</f>
        <v>2859393.46</v>
      </c>
      <c r="F7" s="129">
        <f>SUM(G7:K7)</f>
        <v>1121246.324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30">
        <v>1083786.9580000001</v>
      </c>
      <c r="M7" s="131">
        <f t="shared" ref="M7:M47" si="1">F7-L7</f>
        <v>37459.365999999922</v>
      </c>
      <c r="N7" s="132">
        <f>F7/L7*100</f>
        <v>103.45634035577682</v>
      </c>
      <c r="O7" s="131">
        <f>D7/12*5</f>
        <v>1191413.9416666667</v>
      </c>
      <c r="P7" s="131">
        <f t="shared" ref="P7:P47" si="2">F7-O7</f>
        <v>-70167.617666666629</v>
      </c>
      <c r="Q7" s="132">
        <f t="shared" ref="Q7:Q40" si="3">F7/O7*100</f>
        <v>94.110559293228576</v>
      </c>
      <c r="R7" s="132">
        <f>F7/D7*100</f>
        <v>39.212733038845236</v>
      </c>
      <c r="S7" s="129">
        <v>896515.37700000009</v>
      </c>
      <c r="T7" s="131">
        <f t="shared" ref="T7:T48" si="4">F7-S7</f>
        <v>224730.94699999993</v>
      </c>
      <c r="U7" s="132">
        <f>F7/S7*100</f>
        <v>125.06716033717289</v>
      </c>
      <c r="V7" s="132">
        <v>20.100000000000001</v>
      </c>
      <c r="W7" s="82"/>
      <c r="X7" s="82"/>
      <c r="Y7" s="82">
        <f>W7-X7</f>
        <v>0</v>
      </c>
      <c r="Z7" s="83" t="e">
        <f>W7/X7*100</f>
        <v>#DIV/0!</v>
      </c>
    </row>
    <row r="8" spans="1:37" s="84" customFormat="1" ht="42.75" customHeight="1" x14ac:dyDescent="0.25">
      <c r="A8" s="247"/>
      <c r="B8" s="89" t="s">
        <v>206</v>
      </c>
      <c r="C8" s="81" t="s">
        <v>15</v>
      </c>
      <c r="D8" s="128"/>
      <c r="E8" s="128">
        <f>E7</f>
        <v>2859393.46</v>
      </c>
      <c r="F8" s="129">
        <f t="shared" ref="F8:R8" si="5">F7</f>
        <v>1121246.324</v>
      </c>
      <c r="G8" s="128">
        <f t="shared" si="5"/>
        <v>178227.345</v>
      </c>
      <c r="H8" s="128">
        <f t="shared" si="5"/>
        <v>241711.46</v>
      </c>
      <c r="I8" s="128">
        <f t="shared" si="5"/>
        <v>229956.74600000001</v>
      </c>
      <c r="J8" s="128">
        <f t="shared" si="5"/>
        <v>213294.984</v>
      </c>
      <c r="K8" s="128">
        <f t="shared" si="5"/>
        <v>258055.78899999999</v>
      </c>
      <c r="L8" s="130">
        <f t="shared" si="5"/>
        <v>1083786.9580000001</v>
      </c>
      <c r="M8" s="131">
        <f t="shared" si="5"/>
        <v>37459.365999999922</v>
      </c>
      <c r="N8" s="132">
        <f t="shared" si="5"/>
        <v>103.45634035577682</v>
      </c>
      <c r="O8" s="131">
        <f t="shared" si="5"/>
        <v>1191413.9416666667</v>
      </c>
      <c r="P8" s="131">
        <f t="shared" si="5"/>
        <v>-70167.617666666629</v>
      </c>
      <c r="Q8" s="132">
        <f t="shared" si="5"/>
        <v>94.110559293228576</v>
      </c>
      <c r="R8" s="132">
        <f t="shared" si="5"/>
        <v>39.212733038845236</v>
      </c>
      <c r="S8" s="129">
        <f>S7/0.6*64%</f>
        <v>956283.06880000012</v>
      </c>
      <c r="T8" s="131">
        <f t="shared" ref="T8" si="6">F8-S8</f>
        <v>164963.2551999999</v>
      </c>
      <c r="U8" s="132">
        <f>F8/S8*100</f>
        <v>117.25046281609957</v>
      </c>
      <c r="V8" s="132"/>
      <c r="W8" s="82"/>
      <c r="X8" s="82"/>
      <c r="Y8" s="82"/>
      <c r="Z8" s="83"/>
    </row>
    <row r="9" spans="1:37" s="84" customFormat="1" ht="48.75" customHeight="1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f t="shared" ref="E9:E46" si="7">D9</f>
        <v>1010</v>
      </c>
      <c r="F9" s="129">
        <f t="shared" ref="F9:F46" si="8">SUM(G9:K9)</f>
        <v>427.86699999999996</v>
      </c>
      <c r="G9" s="128">
        <v>2.6560000000000001</v>
      </c>
      <c r="H9" s="128">
        <v>179.74199999999999</v>
      </c>
      <c r="I9" s="128">
        <v>86.79</v>
      </c>
      <c r="J9" s="128">
        <v>30.728999999999999</v>
      </c>
      <c r="K9" s="128">
        <v>127.95</v>
      </c>
      <c r="L9" s="130">
        <v>424.7</v>
      </c>
      <c r="M9" s="131">
        <f t="shared" si="1"/>
        <v>3.1669999999999732</v>
      </c>
      <c r="N9" s="132">
        <f>F9/L9*100</f>
        <v>100.74570284906991</v>
      </c>
      <c r="O9" s="131">
        <f>D9/12*5</f>
        <v>420.83333333333337</v>
      </c>
      <c r="P9" s="131">
        <f t="shared" si="2"/>
        <v>7.0336666666665906</v>
      </c>
      <c r="Q9" s="132">
        <f t="shared" si="3"/>
        <v>101.67136633663365</v>
      </c>
      <c r="R9" s="132">
        <f t="shared" ref="R9:R47" si="9">F9/D9*100</f>
        <v>42.36306930693069</v>
      </c>
      <c r="S9" s="129">
        <v>675.26200000000006</v>
      </c>
      <c r="T9" s="131">
        <f t="shared" si="4"/>
        <v>-247.3950000000001</v>
      </c>
      <c r="U9" s="132">
        <f>F9/S9*100</f>
        <v>63.363109430117483</v>
      </c>
      <c r="V9" s="132">
        <v>3.1</v>
      </c>
      <c r="W9" s="82"/>
      <c r="X9" s="82"/>
      <c r="Y9" s="82">
        <f>S7/0.5</f>
        <v>1793030.7540000002</v>
      </c>
      <c r="Z9" s="83">
        <f>X9/Y9*100</f>
        <v>0</v>
      </c>
    </row>
    <row r="10" spans="1:37" s="84" customFormat="1" ht="50.25" customHeight="1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 t="shared" si="7"/>
        <v>484</v>
      </c>
      <c r="F10" s="129">
        <f t="shared" si="8"/>
        <v>254.81300000000005</v>
      </c>
      <c r="G10" s="128">
        <f t="shared" ref="G10:L10" si="10">SUM(G11:G14)</f>
        <v>1.3639999999999999</v>
      </c>
      <c r="H10" s="128">
        <f t="shared" si="10"/>
        <v>157.91800000000001</v>
      </c>
      <c r="I10" s="128">
        <f t="shared" si="10"/>
        <v>0.187</v>
      </c>
      <c r="J10" s="128">
        <f t="shared" si="10"/>
        <v>1.9410000000000001</v>
      </c>
      <c r="K10" s="128">
        <f t="shared" si="10"/>
        <v>93.403000000000006</v>
      </c>
      <c r="L10" s="128">
        <f t="shared" si="10"/>
        <v>244.02</v>
      </c>
      <c r="M10" s="131">
        <f t="shared" si="1"/>
        <v>10.793000000000035</v>
      </c>
      <c r="N10" s="132">
        <f>F10/L10*100</f>
        <v>104.42299811490862</v>
      </c>
      <c r="O10" s="131">
        <f t="shared" ref="O10:O46" si="11">D10/12*5</f>
        <v>201.66666666666669</v>
      </c>
      <c r="P10" s="131">
        <f t="shared" si="2"/>
        <v>53.146333333333359</v>
      </c>
      <c r="Q10" s="132">
        <f t="shared" si="3"/>
        <v>126.35355371900827</v>
      </c>
      <c r="R10" s="132">
        <f t="shared" si="9"/>
        <v>52.64731404958679</v>
      </c>
      <c r="S10" s="129">
        <f>SUM(S11:S14)</f>
        <v>213.32800000000003</v>
      </c>
      <c r="T10" s="131">
        <f t="shared" si="4"/>
        <v>41.485000000000014</v>
      </c>
      <c r="U10" s="132">
        <f>F10/S10*100</f>
        <v>119.44657991449787</v>
      </c>
      <c r="V10" s="132"/>
      <c r="W10" s="82"/>
      <c r="X10" s="82"/>
      <c r="Y10" s="82"/>
      <c r="Z10" s="83"/>
    </row>
    <row r="11" spans="1:37" s="84" customFormat="1" ht="58.5" x14ac:dyDescent="0.25">
      <c r="A11" s="85" t="s">
        <v>114</v>
      </c>
      <c r="B11" s="195" t="s">
        <v>173</v>
      </c>
      <c r="C11" s="200" t="s">
        <v>174</v>
      </c>
      <c r="D11" s="128">
        <v>23</v>
      </c>
      <c r="E11" s="128">
        <f t="shared" si="7"/>
        <v>23</v>
      </c>
      <c r="F11" s="134">
        <f t="shared" si="8"/>
        <v>8.76</v>
      </c>
      <c r="G11" s="128">
        <v>0</v>
      </c>
      <c r="H11" s="128">
        <v>4.5519999999999996</v>
      </c>
      <c r="I11" s="128">
        <v>0</v>
      </c>
      <c r="J11" s="128">
        <v>0</v>
      </c>
      <c r="K11" s="128">
        <v>4.2080000000000002</v>
      </c>
      <c r="L11" s="130">
        <v>5.3</v>
      </c>
      <c r="M11" s="131">
        <f t="shared" si="1"/>
        <v>3.46</v>
      </c>
      <c r="N11" s="137">
        <f t="shared" ref="N11:N12" si="12">F11/L11*100</f>
        <v>165.28301886792454</v>
      </c>
      <c r="O11" s="131">
        <f t="shared" si="11"/>
        <v>9.5833333333333339</v>
      </c>
      <c r="P11" s="131">
        <f t="shared" si="2"/>
        <v>-0.82333333333333414</v>
      </c>
      <c r="Q11" s="137">
        <f t="shared" si="3"/>
        <v>91.408695652173904</v>
      </c>
      <c r="R11" s="132">
        <f t="shared" si="9"/>
        <v>38.086956521739133</v>
      </c>
      <c r="S11" s="129">
        <v>13.062999999999999</v>
      </c>
      <c r="T11" s="131">
        <f t="shared" si="4"/>
        <v>-4.302999999999999</v>
      </c>
      <c r="U11" s="132">
        <f t="shared" ref="U11:U12" si="13">F11/S11*100</f>
        <v>67.059634080992112</v>
      </c>
      <c r="V11" s="132">
        <v>3.8</v>
      </c>
      <c r="W11" s="82"/>
      <c r="X11" s="82"/>
      <c r="Y11" s="82"/>
      <c r="Z11" s="83"/>
    </row>
    <row r="12" spans="1:37" s="88" customFormat="1" ht="97.5" x14ac:dyDescent="0.25">
      <c r="A12" s="85" t="s">
        <v>115</v>
      </c>
      <c r="B12" s="195" t="s">
        <v>107</v>
      </c>
      <c r="C12" s="72" t="s">
        <v>108</v>
      </c>
      <c r="D12" s="133">
        <v>160</v>
      </c>
      <c r="E12" s="133">
        <f t="shared" si="7"/>
        <v>160</v>
      </c>
      <c r="F12" s="134">
        <f t="shared" si="8"/>
        <v>127.988</v>
      </c>
      <c r="G12" s="133">
        <v>0</v>
      </c>
      <c r="H12" s="133">
        <v>69.736000000000004</v>
      </c>
      <c r="I12" s="133">
        <v>0</v>
      </c>
      <c r="J12" s="133">
        <v>0</v>
      </c>
      <c r="K12" s="133">
        <v>58.252000000000002</v>
      </c>
      <c r="L12" s="135">
        <v>124.7</v>
      </c>
      <c r="M12" s="136">
        <f t="shared" si="1"/>
        <v>3.2879999999999967</v>
      </c>
      <c r="N12" s="137">
        <f t="shared" si="12"/>
        <v>102.63672814755414</v>
      </c>
      <c r="O12" s="136">
        <f t="shared" si="11"/>
        <v>66.666666666666671</v>
      </c>
      <c r="P12" s="136">
        <f t="shared" si="2"/>
        <v>61.321333333333328</v>
      </c>
      <c r="Q12" s="137">
        <f t="shared" si="3"/>
        <v>191.982</v>
      </c>
      <c r="R12" s="137">
        <f t="shared" si="9"/>
        <v>79.992500000000007</v>
      </c>
      <c r="S12" s="134">
        <v>67.532000000000011</v>
      </c>
      <c r="T12" s="136">
        <f t="shared" si="4"/>
        <v>60.455999999999989</v>
      </c>
      <c r="U12" s="137">
        <f t="shared" si="13"/>
        <v>189.52200438310726</v>
      </c>
      <c r="V12" s="137">
        <v>3.6</v>
      </c>
    </row>
    <row r="13" spans="1:37" s="88" customFormat="1" ht="58.5" x14ac:dyDescent="0.25">
      <c r="A13" s="85" t="s">
        <v>116</v>
      </c>
      <c r="B13" s="195" t="s">
        <v>149</v>
      </c>
      <c r="C13" s="72" t="s">
        <v>111</v>
      </c>
      <c r="D13" s="133">
        <v>86</v>
      </c>
      <c r="E13" s="133">
        <f t="shared" si="7"/>
        <v>86</v>
      </c>
      <c r="F13" s="134">
        <f t="shared" si="8"/>
        <v>44.026000000000003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3">
        <v>20.943000000000001</v>
      </c>
      <c r="L13" s="135">
        <v>40.020000000000003</v>
      </c>
      <c r="M13" s="136">
        <f t="shared" si="1"/>
        <v>4.0060000000000002</v>
      </c>
      <c r="N13" s="137">
        <f>F13/L13*100</f>
        <v>110.00999500249875</v>
      </c>
      <c r="O13" s="136">
        <f t="shared" si="11"/>
        <v>35.833333333333336</v>
      </c>
      <c r="P13" s="136">
        <f t="shared" si="2"/>
        <v>8.1926666666666677</v>
      </c>
      <c r="Q13" s="137">
        <f t="shared" si="3"/>
        <v>122.8632558139535</v>
      </c>
      <c r="R13" s="137">
        <f t="shared" si="9"/>
        <v>51.193023255813955</v>
      </c>
      <c r="S13" s="134">
        <v>31.804000000000006</v>
      </c>
      <c r="T13" s="136">
        <f t="shared" si="4"/>
        <v>12.221999999999998</v>
      </c>
      <c r="U13" s="137">
        <f>F13/S13*100</f>
        <v>138.42912841152057</v>
      </c>
      <c r="V13" s="137">
        <v>5.6</v>
      </c>
    </row>
    <row r="14" spans="1:37" s="88" customFormat="1" ht="56.25" customHeight="1" x14ac:dyDescent="0.25">
      <c r="A14" s="85" t="s">
        <v>175</v>
      </c>
      <c r="B14" s="195" t="s">
        <v>148</v>
      </c>
      <c r="C14" s="72" t="s">
        <v>147</v>
      </c>
      <c r="D14" s="133">
        <v>215</v>
      </c>
      <c r="E14" s="133">
        <f t="shared" si="7"/>
        <v>215</v>
      </c>
      <c r="F14" s="134">
        <f t="shared" si="8"/>
        <v>74.039000000000001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3">
        <v>10</v>
      </c>
      <c r="L14" s="135">
        <v>74</v>
      </c>
      <c r="M14" s="136">
        <f t="shared" si="1"/>
        <v>3.9000000000001478E-2</v>
      </c>
      <c r="N14" s="137">
        <f>F14/L14*100</f>
        <v>100.0527027027027</v>
      </c>
      <c r="O14" s="136">
        <f t="shared" si="11"/>
        <v>89.583333333333343</v>
      </c>
      <c r="P14" s="136">
        <f t="shared" si="2"/>
        <v>-15.544333333333341</v>
      </c>
      <c r="Q14" s="137">
        <f t="shared" si="3"/>
        <v>82.648186046511611</v>
      </c>
      <c r="R14" s="137">
        <f t="shared" si="9"/>
        <v>34.436744186046511</v>
      </c>
      <c r="S14" s="134">
        <v>100.929</v>
      </c>
      <c r="T14" s="136">
        <f t="shared" si="4"/>
        <v>-26.89</v>
      </c>
      <c r="U14" s="137">
        <f>F14/S14*100</f>
        <v>73.357508743770367</v>
      </c>
      <c r="V14" s="137">
        <v>1</v>
      </c>
    </row>
    <row r="15" spans="1:37" s="84" customFormat="1" ht="32.25" customHeight="1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 t="shared" si="7"/>
        <v>283000</v>
      </c>
      <c r="F15" s="129">
        <f t="shared" si="8"/>
        <v>69620.813999999998</v>
      </c>
      <c r="G15" s="128">
        <f t="shared" ref="G15:L15" si="14">SUM(G16:G18)</f>
        <v>13827.143</v>
      </c>
      <c r="H15" s="128">
        <f t="shared" si="14"/>
        <v>7447.0510000000004</v>
      </c>
      <c r="I15" s="128">
        <f t="shared" si="14"/>
        <v>25460.975999999999</v>
      </c>
      <c r="J15" s="128">
        <f t="shared" si="14"/>
        <v>6591.6589999999997</v>
      </c>
      <c r="K15" s="128">
        <f t="shared" si="14"/>
        <v>16293.985000000001</v>
      </c>
      <c r="L15" s="130">
        <f t="shared" si="14"/>
        <v>68526.298999999999</v>
      </c>
      <c r="M15" s="131">
        <f t="shared" si="1"/>
        <v>1094.5149999999994</v>
      </c>
      <c r="N15" s="132">
        <f>F15/L15*100</f>
        <v>101.59721890131554</v>
      </c>
      <c r="O15" s="131">
        <f t="shared" si="11"/>
        <v>117916.66666666666</v>
      </c>
      <c r="P15" s="131">
        <f t="shared" si="2"/>
        <v>-48295.852666666658</v>
      </c>
      <c r="Q15" s="132">
        <f t="shared" si="3"/>
        <v>59.042386431095409</v>
      </c>
      <c r="R15" s="132">
        <f t="shared" si="9"/>
        <v>24.600994346289752</v>
      </c>
      <c r="S15" s="129">
        <f t="shared" ref="S15" si="15">SUM(S16:S18)</f>
        <v>90935.100999999995</v>
      </c>
      <c r="T15" s="131">
        <f t="shared" si="4"/>
        <v>-21314.286999999997</v>
      </c>
      <c r="U15" s="132">
        <f>F15/S15*100</f>
        <v>76.560990458458946</v>
      </c>
      <c r="V15" s="132">
        <v>6.1</v>
      </c>
    </row>
    <row r="16" spans="1:37" s="88" customFormat="1" ht="39" x14ac:dyDescent="0.25">
      <c r="A16" s="85" t="s">
        <v>129</v>
      </c>
      <c r="B16" s="195" t="s">
        <v>101</v>
      </c>
      <c r="C16" s="72" t="s">
        <v>93</v>
      </c>
      <c r="D16" s="133">
        <v>32000</v>
      </c>
      <c r="E16" s="133">
        <f t="shared" si="7"/>
        <v>32000</v>
      </c>
      <c r="F16" s="134">
        <f t="shared" si="8"/>
        <v>4227.38</v>
      </c>
      <c r="G16" s="133">
        <v>0</v>
      </c>
      <c r="H16" s="133">
        <v>0</v>
      </c>
      <c r="I16" s="133">
        <v>4216.5990000000002</v>
      </c>
      <c r="J16" s="133">
        <v>8.0489999999999995</v>
      </c>
      <c r="K16" s="133">
        <v>2.7320000000000002</v>
      </c>
      <c r="L16" s="135">
        <v>4220</v>
      </c>
      <c r="M16" s="136">
        <f t="shared" si="1"/>
        <v>7.3800000000001091</v>
      </c>
      <c r="N16" s="137">
        <f t="shared" ref="N16:N27" si="16">F16/L16*100</f>
        <v>100.17488151658769</v>
      </c>
      <c r="O16" s="136">
        <f t="shared" si="11"/>
        <v>13333.333333333332</v>
      </c>
      <c r="P16" s="136">
        <f t="shared" si="2"/>
        <v>-9105.9533333333311</v>
      </c>
      <c r="Q16" s="137">
        <f t="shared" si="3"/>
        <v>31.705350000000003</v>
      </c>
      <c r="R16" s="137">
        <f t="shared" si="9"/>
        <v>13.2105625</v>
      </c>
      <c r="S16" s="134">
        <v>10779.114</v>
      </c>
      <c r="T16" s="136">
        <f t="shared" si="4"/>
        <v>-6551.7339999999995</v>
      </c>
      <c r="U16" s="137">
        <f t="shared" ref="U16:U25" si="17">F16/S16*100</f>
        <v>39.218251147543299</v>
      </c>
      <c r="V16" s="137">
        <v>4.4000000000000004</v>
      </c>
      <c r="W16" s="86">
        <f>S16+S17</f>
        <v>48023.446000000004</v>
      </c>
      <c r="X16" s="86">
        <f>F16+F17</f>
        <v>18510.566000000003</v>
      </c>
    </row>
    <row r="17" spans="1:25" s="88" customFormat="1" ht="59.25" customHeight="1" x14ac:dyDescent="0.25">
      <c r="A17" s="85" t="s">
        <v>130</v>
      </c>
      <c r="B17" s="195" t="s">
        <v>102</v>
      </c>
      <c r="C17" s="72" t="s">
        <v>94</v>
      </c>
      <c r="D17" s="133">
        <v>106000</v>
      </c>
      <c r="E17" s="133">
        <f t="shared" si="7"/>
        <v>106000</v>
      </c>
      <c r="F17" s="134">
        <f t="shared" si="8"/>
        <v>14283.186000000002</v>
      </c>
      <c r="G17" s="133">
        <v>0</v>
      </c>
      <c r="H17" s="133">
        <v>0</v>
      </c>
      <c r="I17" s="133">
        <v>14207.164000000001</v>
      </c>
      <c r="J17" s="133">
        <v>30.79</v>
      </c>
      <c r="K17" s="133">
        <v>45.231999999999999</v>
      </c>
      <c r="L17" s="135">
        <v>14270</v>
      </c>
      <c r="M17" s="136">
        <f t="shared" si="1"/>
        <v>13.186000000001513</v>
      </c>
      <c r="N17" s="137">
        <f t="shared" si="16"/>
        <v>100.09240364400841</v>
      </c>
      <c r="O17" s="136">
        <f t="shared" si="11"/>
        <v>44166.666666666672</v>
      </c>
      <c r="P17" s="136">
        <f t="shared" si="2"/>
        <v>-29883.48066666667</v>
      </c>
      <c r="Q17" s="137">
        <f t="shared" si="3"/>
        <v>32.339289056603775</v>
      </c>
      <c r="R17" s="137">
        <f t="shared" si="9"/>
        <v>13.474703773584906</v>
      </c>
      <c r="S17" s="134">
        <v>37244.332000000002</v>
      </c>
      <c r="T17" s="136">
        <f t="shared" si="4"/>
        <v>-22961.146000000001</v>
      </c>
      <c r="U17" s="137">
        <f t="shared" si="17"/>
        <v>38.349958860854322</v>
      </c>
      <c r="V17" s="137">
        <v>1.8</v>
      </c>
    </row>
    <row r="18" spans="1:25" s="88" customFormat="1" ht="57.75" customHeight="1" x14ac:dyDescent="0.25">
      <c r="A18" s="85" t="s">
        <v>131</v>
      </c>
      <c r="B18" s="195" t="s">
        <v>103</v>
      </c>
      <c r="C18" s="72" t="s">
        <v>58</v>
      </c>
      <c r="D18" s="133">
        <v>145000</v>
      </c>
      <c r="E18" s="133">
        <f t="shared" si="7"/>
        <v>145000</v>
      </c>
      <c r="F18" s="134">
        <f t="shared" si="8"/>
        <v>51110.248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3">
        <v>16246.021000000001</v>
      </c>
      <c r="L18" s="135">
        <v>50036.298999999999</v>
      </c>
      <c r="M18" s="136">
        <f t="shared" si="1"/>
        <v>1073.9490000000005</v>
      </c>
      <c r="N18" s="137">
        <f t="shared" si="16"/>
        <v>102.14633980023183</v>
      </c>
      <c r="O18" s="136">
        <f t="shared" si="11"/>
        <v>60416.666666666672</v>
      </c>
      <c r="P18" s="136">
        <f t="shared" si="2"/>
        <v>-9306.4186666666719</v>
      </c>
      <c r="Q18" s="137">
        <f t="shared" si="3"/>
        <v>84.596272551724127</v>
      </c>
      <c r="R18" s="137">
        <f t="shared" si="9"/>
        <v>35.248446896551719</v>
      </c>
      <c r="S18" s="134">
        <v>42911.654999999999</v>
      </c>
      <c r="T18" s="136">
        <f t="shared" si="4"/>
        <v>8198.5930000000008</v>
      </c>
      <c r="U18" s="137">
        <f t="shared" si="17"/>
        <v>119.10574877617748</v>
      </c>
      <c r="V18" s="137">
        <v>9.9</v>
      </c>
    </row>
    <row r="19" spans="1:25" s="115" customFormat="1" ht="42" customHeight="1" x14ac:dyDescent="0.25">
      <c r="A19" s="80">
        <v>5</v>
      </c>
      <c r="B19" s="89" t="s">
        <v>196</v>
      </c>
      <c r="C19" s="81" t="s">
        <v>197</v>
      </c>
      <c r="D19" s="128">
        <v>0</v>
      </c>
      <c r="E19" s="128">
        <f t="shared" si="7"/>
        <v>0</v>
      </c>
      <c r="F19" s="129">
        <f t="shared" si="8"/>
        <v>6.7789999999999999</v>
      </c>
      <c r="G19" s="128">
        <v>0</v>
      </c>
      <c r="H19" s="128">
        <v>4.5270000000000001</v>
      </c>
      <c r="I19" s="128">
        <v>2.2519999999999998</v>
      </c>
      <c r="J19" s="128">
        <v>0</v>
      </c>
      <c r="K19" s="128">
        <v>0</v>
      </c>
      <c r="L19" s="130">
        <v>0</v>
      </c>
      <c r="M19" s="131">
        <f t="shared" si="1"/>
        <v>6.7789999999999999</v>
      </c>
      <c r="N19" s="132"/>
      <c r="O19" s="131">
        <f t="shared" si="11"/>
        <v>0</v>
      </c>
      <c r="P19" s="131">
        <f t="shared" si="2"/>
        <v>6.7789999999999999</v>
      </c>
      <c r="Q19" s="132"/>
      <c r="R19" s="132"/>
      <c r="S19" s="129">
        <v>0</v>
      </c>
      <c r="T19" s="131">
        <f t="shared" si="4"/>
        <v>6.7789999999999999</v>
      </c>
      <c r="U19" s="132"/>
      <c r="V19" s="132"/>
      <c r="W19" s="166"/>
      <c r="X19" s="166"/>
    </row>
    <row r="20" spans="1:25" s="115" customFormat="1" ht="64.5" customHeight="1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 t="shared" si="7"/>
        <v>1148486.2349999999</v>
      </c>
      <c r="F20" s="129">
        <f t="shared" si="8"/>
        <v>466716.89899999998</v>
      </c>
      <c r="G20" s="128">
        <f t="shared" ref="G20:L20" si="18">G21+G22+G23+G25+G24</f>
        <v>103730.772</v>
      </c>
      <c r="H20" s="128">
        <f t="shared" si="18"/>
        <v>124787.395</v>
      </c>
      <c r="I20" s="128">
        <f t="shared" si="18"/>
        <v>38829.207000000009</v>
      </c>
      <c r="J20" s="128">
        <f t="shared" si="18"/>
        <v>98595.522000000012</v>
      </c>
      <c r="K20" s="128">
        <f t="shared" si="18"/>
        <v>100774.00299999998</v>
      </c>
      <c r="L20" s="130">
        <f t="shared" si="18"/>
        <v>462558.7</v>
      </c>
      <c r="M20" s="131">
        <f t="shared" si="1"/>
        <v>4158.1989999999641</v>
      </c>
      <c r="N20" s="132">
        <f t="shared" si="16"/>
        <v>100.89895595953551</v>
      </c>
      <c r="O20" s="131">
        <f t="shared" si="11"/>
        <v>478535.93124999991</v>
      </c>
      <c r="P20" s="131">
        <f t="shared" si="2"/>
        <v>-11819.032249999931</v>
      </c>
      <c r="Q20" s="132">
        <f t="shared" si="3"/>
        <v>97.530168274067307</v>
      </c>
      <c r="R20" s="132">
        <f t="shared" si="9"/>
        <v>40.637570114194709</v>
      </c>
      <c r="S20" s="129">
        <f t="shared" ref="S20" si="19">S21+S22+S23+S25+S24</f>
        <v>413444.17499999999</v>
      </c>
      <c r="T20" s="131">
        <f t="shared" si="4"/>
        <v>53272.723999999987</v>
      </c>
      <c r="U20" s="132">
        <f t="shared" si="17"/>
        <v>112.88510691921103</v>
      </c>
      <c r="V20" s="132">
        <v>18.2</v>
      </c>
      <c r="W20" s="166">
        <f>S22+S23+S21</f>
        <v>136204.13699999999</v>
      </c>
      <c r="X20" s="166">
        <f>F21+F22+F23</f>
        <v>134568.90600000002</v>
      </c>
    </row>
    <row r="21" spans="1:25" s="117" customFormat="1" ht="55.5" customHeight="1" x14ac:dyDescent="0.25">
      <c r="A21" s="116" t="s">
        <v>141</v>
      </c>
      <c r="B21" s="196" t="s">
        <v>59</v>
      </c>
      <c r="C21" s="236" t="s">
        <v>46</v>
      </c>
      <c r="D21" s="133">
        <v>116436.235</v>
      </c>
      <c r="E21" s="133">
        <f t="shared" si="7"/>
        <v>116436.235</v>
      </c>
      <c r="F21" s="134">
        <f t="shared" si="8"/>
        <v>41286.529000000002</v>
      </c>
      <c r="G21" s="133">
        <v>13619.357</v>
      </c>
      <c r="H21" s="133">
        <v>3898.9369999999999</v>
      </c>
      <c r="I21" s="133">
        <v>2387.5859999999998</v>
      </c>
      <c r="J21" s="133">
        <v>14990.857</v>
      </c>
      <c r="K21" s="133">
        <v>6389.7920000000004</v>
      </c>
      <c r="L21" s="135">
        <v>39968</v>
      </c>
      <c r="M21" s="136">
        <f t="shared" si="1"/>
        <v>1318.5290000000023</v>
      </c>
      <c r="N21" s="137">
        <f t="shared" si="16"/>
        <v>103.29896166933548</v>
      </c>
      <c r="O21" s="164">
        <f t="shared" si="11"/>
        <v>48515.097916666666</v>
      </c>
      <c r="P21" s="136">
        <f t="shared" si="2"/>
        <v>-7228.5689166666634</v>
      </c>
      <c r="Q21" s="137">
        <f t="shared" si="3"/>
        <v>85.100372405548839</v>
      </c>
      <c r="R21" s="137">
        <f t="shared" si="9"/>
        <v>35.458488502312022</v>
      </c>
      <c r="S21" s="134">
        <v>39152.179999999993</v>
      </c>
      <c r="T21" s="136">
        <f t="shared" si="4"/>
        <v>2134.3490000000093</v>
      </c>
      <c r="U21" s="137">
        <f t="shared" si="17"/>
        <v>105.45141803087341</v>
      </c>
      <c r="V21" s="137">
        <v>18.100000000000001</v>
      </c>
    </row>
    <row r="22" spans="1:25" s="117" customFormat="1" ht="39.75" customHeight="1" x14ac:dyDescent="0.25">
      <c r="A22" s="85" t="s">
        <v>142</v>
      </c>
      <c r="B22" s="196" t="s">
        <v>7</v>
      </c>
      <c r="C22" s="236"/>
      <c r="D22" s="133">
        <v>271200</v>
      </c>
      <c r="E22" s="133">
        <f t="shared" si="7"/>
        <v>271200</v>
      </c>
      <c r="F22" s="134">
        <f t="shared" si="8"/>
        <v>92695.9</v>
      </c>
      <c r="G22" s="133">
        <v>16688.975999999999</v>
      </c>
      <c r="H22" s="133">
        <v>18871.809000000001</v>
      </c>
      <c r="I22" s="133">
        <v>17285.559000000001</v>
      </c>
      <c r="J22" s="133">
        <v>17840.13</v>
      </c>
      <c r="K22" s="133">
        <v>22009.425999999999</v>
      </c>
      <c r="L22" s="135">
        <v>90905</v>
      </c>
      <c r="M22" s="136">
        <f t="shared" si="1"/>
        <v>1790.8999999999942</v>
      </c>
      <c r="N22" s="137">
        <f t="shared" si="16"/>
        <v>101.9700786535394</v>
      </c>
      <c r="O22" s="131">
        <f t="shared" si="11"/>
        <v>113000</v>
      </c>
      <c r="P22" s="136">
        <f t="shared" si="2"/>
        <v>-20304.100000000006</v>
      </c>
      <c r="Q22" s="137">
        <f t="shared" si="3"/>
        <v>82.031769911504412</v>
      </c>
      <c r="R22" s="137">
        <f t="shared" si="9"/>
        <v>34.179904129793506</v>
      </c>
      <c r="S22" s="134">
        <v>96158.978999999992</v>
      </c>
      <c r="T22" s="136">
        <f t="shared" si="4"/>
        <v>-3463.0789999999979</v>
      </c>
      <c r="U22" s="137">
        <f t="shared" si="17"/>
        <v>96.398590089023301</v>
      </c>
      <c r="V22" s="137">
        <v>17.100000000000001</v>
      </c>
    </row>
    <row r="23" spans="1:25" s="117" customFormat="1" ht="39.75" customHeight="1" x14ac:dyDescent="0.25">
      <c r="A23" s="85" t="s">
        <v>143</v>
      </c>
      <c r="B23" s="196" t="s">
        <v>60</v>
      </c>
      <c r="C23" s="236"/>
      <c r="D23" s="133">
        <v>1200</v>
      </c>
      <c r="E23" s="133">
        <f t="shared" si="7"/>
        <v>1200</v>
      </c>
      <c r="F23" s="134">
        <f t="shared" si="8"/>
        <v>586.47699999999998</v>
      </c>
      <c r="G23" s="133">
        <v>247.57300000000001</v>
      </c>
      <c r="H23" s="133">
        <v>103.74299999999999</v>
      </c>
      <c r="I23" s="133">
        <v>29.167000000000002</v>
      </c>
      <c r="J23" s="133">
        <v>161.82400000000001</v>
      </c>
      <c r="K23" s="133">
        <v>44.17</v>
      </c>
      <c r="L23" s="135">
        <v>584.79999999999995</v>
      </c>
      <c r="M23" s="136">
        <f t="shared" si="1"/>
        <v>1.6770000000000209</v>
      </c>
      <c r="N23" s="137">
        <f t="shared" si="16"/>
        <v>100.28676470588236</v>
      </c>
      <c r="O23" s="131">
        <f t="shared" si="11"/>
        <v>500</v>
      </c>
      <c r="P23" s="136">
        <f t="shared" si="2"/>
        <v>86.476999999999975</v>
      </c>
      <c r="Q23" s="137">
        <f t="shared" si="3"/>
        <v>117.2954</v>
      </c>
      <c r="R23" s="137">
        <f t="shared" si="9"/>
        <v>48.873083333333334</v>
      </c>
      <c r="S23" s="134">
        <v>892.97800000000007</v>
      </c>
      <c r="T23" s="136">
        <f t="shared" si="4"/>
        <v>-306.50100000000009</v>
      </c>
      <c r="U23" s="137">
        <f t="shared" si="17"/>
        <v>65.676534024354467</v>
      </c>
      <c r="V23" s="137">
        <v>-27</v>
      </c>
      <c r="W23" s="137">
        <f>100-U23</f>
        <v>34.323465975645533</v>
      </c>
      <c r="X23" s="118"/>
      <c r="Y23" s="119" t="e">
        <f>F21/#REF!*100</f>
        <v>#REF!</v>
      </c>
    </row>
    <row r="24" spans="1:25" s="121" customFormat="1" ht="39.75" customHeight="1" x14ac:dyDescent="0.25">
      <c r="A24" s="85" t="s">
        <v>144</v>
      </c>
      <c r="B24" s="196" t="s">
        <v>42</v>
      </c>
      <c r="C24" s="120" t="s">
        <v>41</v>
      </c>
      <c r="D24" s="133">
        <v>2050</v>
      </c>
      <c r="E24" s="133">
        <f t="shared" si="7"/>
        <v>2050</v>
      </c>
      <c r="F24" s="134">
        <f t="shared" si="8"/>
        <v>1008.2750000000001</v>
      </c>
      <c r="G24" s="133">
        <v>94</v>
      </c>
      <c r="H24" s="133">
        <v>159.066</v>
      </c>
      <c r="I24" s="133">
        <v>113.41</v>
      </c>
      <c r="J24" s="133">
        <v>255.81100000000001</v>
      </c>
      <c r="K24" s="133">
        <v>385.988</v>
      </c>
      <c r="L24" s="135">
        <v>1000.9</v>
      </c>
      <c r="M24" s="136">
        <f t="shared" si="1"/>
        <v>7.3750000000001137</v>
      </c>
      <c r="N24" s="137">
        <f t="shared" si="16"/>
        <v>100.73683684683785</v>
      </c>
      <c r="O24" s="131">
        <f t="shared" si="11"/>
        <v>854.16666666666674</v>
      </c>
      <c r="P24" s="136">
        <f t="shared" si="2"/>
        <v>154.10833333333335</v>
      </c>
      <c r="Q24" s="137">
        <f t="shared" si="3"/>
        <v>118.0419512195122</v>
      </c>
      <c r="R24" s="137">
        <f t="shared" si="9"/>
        <v>49.184146341463418</v>
      </c>
      <c r="S24" s="134">
        <v>513.64700000000005</v>
      </c>
      <c r="T24" s="133">
        <f t="shared" si="4"/>
        <v>494.62800000000004</v>
      </c>
      <c r="U24" s="137">
        <f t="shared" si="17"/>
        <v>196.29726251686469</v>
      </c>
      <c r="V24" s="137">
        <v>6.6</v>
      </c>
    </row>
    <row r="25" spans="1:25" s="117" customFormat="1" ht="39.75" customHeight="1" x14ac:dyDescent="0.25">
      <c r="A25" s="85" t="s">
        <v>208</v>
      </c>
      <c r="B25" s="196" t="s">
        <v>35</v>
      </c>
      <c r="C25" s="215" t="s">
        <v>36</v>
      </c>
      <c r="D25" s="133">
        <v>757600</v>
      </c>
      <c r="E25" s="133">
        <f t="shared" si="7"/>
        <v>757600</v>
      </c>
      <c r="F25" s="134">
        <f t="shared" si="8"/>
        <v>331139.71799999999</v>
      </c>
      <c r="G25" s="133">
        <v>73080.865999999995</v>
      </c>
      <c r="H25" s="133">
        <v>101753.84</v>
      </c>
      <c r="I25" s="133">
        <v>19013.485000000001</v>
      </c>
      <c r="J25" s="133">
        <v>65346.9</v>
      </c>
      <c r="K25" s="133">
        <v>71944.626999999993</v>
      </c>
      <c r="L25" s="135">
        <v>330100</v>
      </c>
      <c r="M25" s="136">
        <f t="shared" si="1"/>
        <v>1039.7179999999935</v>
      </c>
      <c r="N25" s="137">
        <f t="shared" si="16"/>
        <v>100.31497061496518</v>
      </c>
      <c r="O25" s="131">
        <f t="shared" si="11"/>
        <v>315666.66666666669</v>
      </c>
      <c r="P25" s="136">
        <f t="shared" si="2"/>
        <v>15473.051333333307</v>
      </c>
      <c r="Q25" s="137">
        <f t="shared" si="3"/>
        <v>104.90170580781415</v>
      </c>
      <c r="R25" s="137">
        <f t="shared" si="9"/>
        <v>43.70904408658923</v>
      </c>
      <c r="S25" s="134">
        <v>276726.391</v>
      </c>
      <c r="T25" s="136">
        <f t="shared" si="4"/>
        <v>54413.32699999999</v>
      </c>
      <c r="U25" s="137">
        <f t="shared" si="17"/>
        <v>119.66322286911912</v>
      </c>
      <c r="V25" s="137">
        <v>18.8</v>
      </c>
      <c r="X25" s="118"/>
      <c r="Y25" s="119" t="e">
        <f>F25/#REF!*100</f>
        <v>#REF!</v>
      </c>
    </row>
    <row r="26" spans="1:25" s="84" customFormat="1" ht="58.5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f t="shared" si="7"/>
        <v>950</v>
      </c>
      <c r="F26" s="129">
        <f t="shared" si="8"/>
        <v>190.50200000000001</v>
      </c>
      <c r="G26" s="128">
        <v>1.284</v>
      </c>
      <c r="H26" s="128">
        <v>40.808</v>
      </c>
      <c r="I26" s="128">
        <v>10.311</v>
      </c>
      <c r="J26" s="128">
        <v>33.229999999999997</v>
      </c>
      <c r="K26" s="128">
        <v>104.869</v>
      </c>
      <c r="L26" s="130">
        <v>190</v>
      </c>
      <c r="M26" s="131">
        <f t="shared" si="1"/>
        <v>0.50200000000000955</v>
      </c>
      <c r="N26" s="132">
        <f t="shared" si="16"/>
        <v>100.26421052631579</v>
      </c>
      <c r="O26" s="131">
        <f t="shared" si="11"/>
        <v>395.83333333333337</v>
      </c>
      <c r="P26" s="131">
        <f t="shared" si="2"/>
        <v>-205.33133333333336</v>
      </c>
      <c r="Q26" s="132">
        <f t="shared" si="3"/>
        <v>48.126821052631577</v>
      </c>
      <c r="R26" s="132">
        <f t="shared" si="9"/>
        <v>20.052842105263156</v>
      </c>
      <c r="S26" s="129">
        <v>223.52699999999999</v>
      </c>
      <c r="T26" s="131">
        <f t="shared" si="4"/>
        <v>-33.024999999999977</v>
      </c>
      <c r="U26" s="132">
        <f>F26/S26*100</f>
        <v>85.225498485641566</v>
      </c>
      <c r="V26" s="132">
        <v>2.7</v>
      </c>
      <c r="W26" s="83">
        <f>100-U26</f>
        <v>14.774501514358434</v>
      </c>
    </row>
    <row r="27" spans="1:25" s="84" customFormat="1" ht="39" x14ac:dyDescent="0.25">
      <c r="A27" s="80">
        <f t="shared" ref="A27:A34" si="20">A26+1</f>
        <v>8</v>
      </c>
      <c r="B27" s="89" t="s">
        <v>76</v>
      </c>
      <c r="C27" s="81" t="s">
        <v>75</v>
      </c>
      <c r="D27" s="128">
        <v>12000</v>
      </c>
      <c r="E27" s="128">
        <f t="shared" si="7"/>
        <v>12000</v>
      </c>
      <c r="F27" s="129">
        <f t="shared" si="8"/>
        <v>5450.7240000000002</v>
      </c>
      <c r="G27" s="128">
        <v>501.13</v>
      </c>
      <c r="H27" s="128">
        <v>1239.6949999999999</v>
      </c>
      <c r="I27" s="128">
        <v>1250.075</v>
      </c>
      <c r="J27" s="128">
        <v>1209.75</v>
      </c>
      <c r="K27" s="128">
        <v>1250.0740000000001</v>
      </c>
      <c r="L27" s="130">
        <v>5150</v>
      </c>
      <c r="M27" s="131">
        <f t="shared" si="1"/>
        <v>300.72400000000016</v>
      </c>
      <c r="N27" s="132">
        <f t="shared" si="16"/>
        <v>105.83930097087379</v>
      </c>
      <c r="O27" s="131">
        <f t="shared" si="11"/>
        <v>5000</v>
      </c>
      <c r="P27" s="131">
        <f t="shared" si="2"/>
        <v>450.72400000000016</v>
      </c>
      <c r="Q27" s="132">
        <f t="shared" si="3"/>
        <v>109.01448000000001</v>
      </c>
      <c r="R27" s="132">
        <f t="shared" si="9"/>
        <v>45.422699999999999</v>
      </c>
      <c r="S27" s="129">
        <v>6529.8370000000014</v>
      </c>
      <c r="T27" s="131">
        <f t="shared" si="4"/>
        <v>-1079.1130000000012</v>
      </c>
      <c r="U27" s="132">
        <f>F27/S27*100</f>
        <v>83.474120410662607</v>
      </c>
      <c r="V27" s="132">
        <v>-30.3</v>
      </c>
    </row>
    <row r="28" spans="1:25" s="84" customFormat="1" ht="23.25" x14ac:dyDescent="0.25">
      <c r="A28" s="80">
        <f t="shared" si="20"/>
        <v>9</v>
      </c>
      <c r="B28" s="89" t="s">
        <v>8</v>
      </c>
      <c r="C28" s="81" t="s">
        <v>19</v>
      </c>
      <c r="D28" s="128">
        <v>6.1</v>
      </c>
      <c r="E28" s="128">
        <f t="shared" si="7"/>
        <v>6.1</v>
      </c>
      <c r="F28" s="129">
        <f t="shared" si="8"/>
        <v>0</v>
      </c>
      <c r="G28" s="128">
        <v>0</v>
      </c>
      <c r="H28" s="128"/>
      <c r="I28" s="128">
        <v>0</v>
      </c>
      <c r="J28" s="128">
        <v>0</v>
      </c>
      <c r="K28" s="128">
        <v>0</v>
      </c>
      <c r="L28" s="130">
        <v>0</v>
      </c>
      <c r="M28" s="131">
        <f t="shared" si="1"/>
        <v>0</v>
      </c>
      <c r="N28" s="132"/>
      <c r="O28" s="131">
        <f t="shared" si="11"/>
        <v>2.5416666666666665</v>
      </c>
      <c r="P28" s="131">
        <f t="shared" si="2"/>
        <v>-2.5416666666666665</v>
      </c>
      <c r="Q28" s="132">
        <f t="shared" si="3"/>
        <v>0</v>
      </c>
      <c r="R28" s="132">
        <f t="shared" si="9"/>
        <v>0</v>
      </c>
      <c r="S28" s="129">
        <v>6.04</v>
      </c>
      <c r="T28" s="131">
        <f t="shared" si="4"/>
        <v>-6.04</v>
      </c>
      <c r="U28" s="132"/>
      <c r="V28" s="132">
        <v>1</v>
      </c>
    </row>
    <row r="29" spans="1:25" s="84" customFormat="1" ht="97.5" x14ac:dyDescent="0.25">
      <c r="A29" s="80">
        <f t="shared" si="20"/>
        <v>10</v>
      </c>
      <c r="B29" s="151" t="s">
        <v>97</v>
      </c>
      <c r="C29" s="109" t="s">
        <v>98</v>
      </c>
      <c r="D29" s="128">
        <v>0.05</v>
      </c>
      <c r="E29" s="128">
        <f t="shared" si="7"/>
        <v>0.05</v>
      </c>
      <c r="F29" s="129">
        <f t="shared" si="8"/>
        <v>5.1849999999999996</v>
      </c>
      <c r="G29" s="128">
        <v>5.1849999999999996</v>
      </c>
      <c r="H29" s="128"/>
      <c r="I29" s="128">
        <v>0</v>
      </c>
      <c r="J29" s="128">
        <v>0</v>
      </c>
      <c r="K29" s="128">
        <v>0</v>
      </c>
      <c r="L29" s="130">
        <v>0.05</v>
      </c>
      <c r="M29" s="131">
        <f t="shared" si="1"/>
        <v>5.1349999999999998</v>
      </c>
      <c r="N29" s="132">
        <f t="shared" ref="N29:N40" si="21">F29/L29*100</f>
        <v>10369.999999999998</v>
      </c>
      <c r="O29" s="131">
        <f t="shared" si="11"/>
        <v>2.0833333333333332E-2</v>
      </c>
      <c r="P29" s="131">
        <f t="shared" si="2"/>
        <v>5.1641666666666666</v>
      </c>
      <c r="Q29" s="132">
        <f t="shared" si="3"/>
        <v>24888</v>
      </c>
      <c r="R29" s="132">
        <f t="shared" si="9"/>
        <v>10369.999999999998</v>
      </c>
      <c r="S29" s="129">
        <v>0</v>
      </c>
      <c r="T29" s="131">
        <f t="shared" si="4"/>
        <v>5.1849999999999996</v>
      </c>
      <c r="U29" s="132"/>
      <c r="V29" s="132">
        <v>-99</v>
      </c>
    </row>
    <row r="30" spans="1:25" s="84" customFormat="1" ht="38.25" customHeight="1" x14ac:dyDescent="0.25">
      <c r="A30" s="80">
        <f t="shared" si="20"/>
        <v>11</v>
      </c>
      <c r="B30" s="147" t="s">
        <v>32</v>
      </c>
      <c r="C30" s="81" t="s">
        <v>25</v>
      </c>
      <c r="D30" s="128">
        <v>14300</v>
      </c>
      <c r="E30" s="128">
        <f t="shared" si="7"/>
        <v>14300</v>
      </c>
      <c r="F30" s="129">
        <f t="shared" si="8"/>
        <v>3234.3150000000001</v>
      </c>
      <c r="G30" s="128">
        <v>1031.287</v>
      </c>
      <c r="H30" s="128">
        <v>1145.06</v>
      </c>
      <c r="I30" s="128">
        <v>101.938</v>
      </c>
      <c r="J30" s="128">
        <v>351.33600000000001</v>
      </c>
      <c r="K30" s="128">
        <v>604.69399999999996</v>
      </c>
      <c r="L30" s="130">
        <v>3150</v>
      </c>
      <c r="M30" s="131">
        <f t="shared" si="1"/>
        <v>84.315000000000055</v>
      </c>
      <c r="N30" s="132">
        <f t="shared" si="21"/>
        <v>102.67666666666666</v>
      </c>
      <c r="O30" s="131">
        <f t="shared" si="11"/>
        <v>5958.3333333333339</v>
      </c>
      <c r="P30" s="131">
        <f t="shared" si="2"/>
        <v>-2724.0183333333339</v>
      </c>
      <c r="Q30" s="132">
        <f t="shared" si="3"/>
        <v>54.282209790209791</v>
      </c>
      <c r="R30" s="132">
        <f t="shared" si="9"/>
        <v>22.617587412587415</v>
      </c>
      <c r="S30" s="129">
        <v>4128.6019999999999</v>
      </c>
      <c r="T30" s="131">
        <f t="shared" si="4"/>
        <v>-894.28699999999981</v>
      </c>
      <c r="U30" s="132">
        <f t="shared" ref="U30:U40" si="22">F30/S30*100</f>
        <v>78.339229598784286</v>
      </c>
      <c r="V30" s="132">
        <v>4</v>
      </c>
      <c r="W30" s="83">
        <f>K30-'[1]2021'!$I$29</f>
        <v>-289.27300000000002</v>
      </c>
    </row>
    <row r="31" spans="1:25" s="84" customFormat="1" ht="58.5" x14ac:dyDescent="0.25">
      <c r="A31" s="80">
        <f t="shared" si="20"/>
        <v>12</v>
      </c>
      <c r="B31" s="147" t="s">
        <v>87</v>
      </c>
      <c r="C31" s="81" t="s">
        <v>86</v>
      </c>
      <c r="D31" s="128">
        <v>560</v>
      </c>
      <c r="E31" s="128">
        <f t="shared" si="7"/>
        <v>560</v>
      </c>
      <c r="F31" s="129">
        <f t="shared" si="8"/>
        <v>101.857</v>
      </c>
      <c r="G31" s="128">
        <v>79.635000000000005</v>
      </c>
      <c r="H31" s="128">
        <v>6.94</v>
      </c>
      <c r="I31" s="128">
        <v>0</v>
      </c>
      <c r="J31" s="128">
        <v>0</v>
      </c>
      <c r="K31" s="128">
        <v>15.282</v>
      </c>
      <c r="L31" s="130">
        <v>91</v>
      </c>
      <c r="M31" s="131">
        <f t="shared" si="1"/>
        <v>10.856999999999999</v>
      </c>
      <c r="N31" s="132">
        <f t="shared" si="21"/>
        <v>111.93076923076923</v>
      </c>
      <c r="O31" s="131">
        <f t="shared" si="11"/>
        <v>233.33333333333331</v>
      </c>
      <c r="P31" s="131">
        <f t="shared" si="2"/>
        <v>-131.47633333333332</v>
      </c>
      <c r="Q31" s="132">
        <f t="shared" si="3"/>
        <v>43.653000000000006</v>
      </c>
      <c r="R31" s="132">
        <f t="shared" si="9"/>
        <v>18.188750000000002</v>
      </c>
      <c r="S31" s="129">
        <v>124.72</v>
      </c>
      <c r="T31" s="131">
        <f t="shared" si="4"/>
        <v>-22.863</v>
      </c>
      <c r="U31" s="132">
        <f t="shared" si="22"/>
        <v>81.668537524053889</v>
      </c>
      <c r="V31" s="132">
        <v>2.2000000000000002</v>
      </c>
    </row>
    <row r="32" spans="1:25" s="84" customFormat="1" ht="33" customHeight="1" x14ac:dyDescent="0.25">
      <c r="A32" s="80">
        <f t="shared" si="20"/>
        <v>13</v>
      </c>
      <c r="B32" s="147" t="s">
        <v>117</v>
      </c>
      <c r="C32" s="81" t="s">
        <v>118</v>
      </c>
      <c r="D32" s="128">
        <v>18563.54</v>
      </c>
      <c r="E32" s="128">
        <f t="shared" si="7"/>
        <v>18563.54</v>
      </c>
      <c r="F32" s="129">
        <f t="shared" si="8"/>
        <v>7263.3639999999996</v>
      </c>
      <c r="G32" s="128">
        <v>1407.4690000000001</v>
      </c>
      <c r="H32" s="128">
        <v>1637.8989999999999</v>
      </c>
      <c r="I32" s="128">
        <v>1178.489</v>
      </c>
      <c r="J32" s="128">
        <v>1400.6790000000001</v>
      </c>
      <c r="K32" s="128">
        <v>1638.828</v>
      </c>
      <c r="L32" s="130">
        <v>6670</v>
      </c>
      <c r="M32" s="131">
        <f t="shared" si="1"/>
        <v>593.36399999999958</v>
      </c>
      <c r="N32" s="132">
        <f t="shared" si="21"/>
        <v>108.89601199400299</v>
      </c>
      <c r="O32" s="131">
        <f t="shared" si="11"/>
        <v>7734.8083333333343</v>
      </c>
      <c r="P32" s="131">
        <f t="shared" si="2"/>
        <v>-471.44433333333473</v>
      </c>
      <c r="Q32" s="132">
        <f t="shared" si="3"/>
        <v>93.904899604278043</v>
      </c>
      <c r="R32" s="132">
        <f t="shared" si="9"/>
        <v>39.127041501782521</v>
      </c>
      <c r="S32" s="129">
        <v>7230.9689999999991</v>
      </c>
      <c r="T32" s="131">
        <f t="shared" si="4"/>
        <v>32.395000000000437</v>
      </c>
      <c r="U32" s="132">
        <f t="shared" si="22"/>
        <v>100.44800358015642</v>
      </c>
      <c r="V32" s="132">
        <v>4.3</v>
      </c>
    </row>
    <row r="33" spans="1:29" s="84" customFormat="1" ht="97.5" x14ac:dyDescent="0.25">
      <c r="A33" s="80">
        <f t="shared" si="20"/>
        <v>14</v>
      </c>
      <c r="B33" s="147" t="s">
        <v>176</v>
      </c>
      <c r="C33" s="81" t="s">
        <v>177</v>
      </c>
      <c r="D33" s="128">
        <v>35</v>
      </c>
      <c r="E33" s="128">
        <f t="shared" si="7"/>
        <v>35</v>
      </c>
      <c r="F33" s="129">
        <f t="shared" si="8"/>
        <v>24.623999999999999</v>
      </c>
      <c r="G33" s="128">
        <v>8.39</v>
      </c>
      <c r="H33" s="128">
        <v>6.0720000000000001</v>
      </c>
      <c r="I33" s="128">
        <v>1.95</v>
      </c>
      <c r="J33" s="128">
        <v>1.95</v>
      </c>
      <c r="K33" s="128">
        <v>6.2619999999999996</v>
      </c>
      <c r="L33" s="130">
        <v>23.7</v>
      </c>
      <c r="M33" s="131">
        <f t="shared" si="1"/>
        <v>0.92399999999999949</v>
      </c>
      <c r="N33" s="132">
        <f t="shared" si="21"/>
        <v>103.89873417721518</v>
      </c>
      <c r="O33" s="131">
        <f t="shared" si="11"/>
        <v>14.583333333333332</v>
      </c>
      <c r="P33" s="131">
        <f t="shared" si="2"/>
        <v>10.040666666666667</v>
      </c>
      <c r="Q33" s="132">
        <f>F33/O33*100</f>
        <v>168.85028571428572</v>
      </c>
      <c r="R33" s="132">
        <f t="shared" si="9"/>
        <v>70.354285714285709</v>
      </c>
      <c r="S33" s="129">
        <v>7.0009999999999994</v>
      </c>
      <c r="T33" s="131">
        <f t="shared" si="4"/>
        <v>17.622999999999998</v>
      </c>
      <c r="U33" s="132">
        <f t="shared" si="22"/>
        <v>351.72118268818741</v>
      </c>
      <c r="V33" s="132">
        <v>-5.4</v>
      </c>
    </row>
    <row r="34" spans="1:29" s="84" customFormat="1" ht="36" customHeight="1" x14ac:dyDescent="0.25">
      <c r="A34" s="80">
        <f t="shared" si="20"/>
        <v>15</v>
      </c>
      <c r="B34" s="147" t="s">
        <v>89</v>
      </c>
      <c r="C34" s="81" t="s">
        <v>88</v>
      </c>
      <c r="D34" s="128">
        <f>SUM(D35:D38)</f>
        <v>34832</v>
      </c>
      <c r="E34" s="128">
        <f t="shared" si="7"/>
        <v>34832</v>
      </c>
      <c r="F34" s="129">
        <f t="shared" si="8"/>
        <v>15705.441999999999</v>
      </c>
      <c r="G34" s="128">
        <f t="shared" ref="G34:L34" si="23">SUM(G35:G38)</f>
        <v>2780.7419999999997</v>
      </c>
      <c r="H34" s="128">
        <f t="shared" si="23"/>
        <v>3150.4549999999999</v>
      </c>
      <c r="I34" s="128">
        <f t="shared" si="23"/>
        <v>1405.0839999999998</v>
      </c>
      <c r="J34" s="128">
        <f t="shared" si="23"/>
        <v>3801.056</v>
      </c>
      <c r="K34" s="128">
        <f t="shared" si="23"/>
        <v>4568.1049999999996</v>
      </c>
      <c r="L34" s="130">
        <f t="shared" si="23"/>
        <v>14893.391</v>
      </c>
      <c r="M34" s="131">
        <f t="shared" si="1"/>
        <v>812.05099999999948</v>
      </c>
      <c r="N34" s="132">
        <f t="shared" si="21"/>
        <v>105.452425173018</v>
      </c>
      <c r="O34" s="131">
        <f t="shared" si="11"/>
        <v>14513.333333333332</v>
      </c>
      <c r="P34" s="131">
        <f t="shared" si="2"/>
        <v>1192.108666666667</v>
      </c>
      <c r="Q34" s="132">
        <f t="shared" si="3"/>
        <v>108.2138860817639</v>
      </c>
      <c r="R34" s="132">
        <f t="shared" si="9"/>
        <v>45.089119200734956</v>
      </c>
      <c r="S34" s="129">
        <f t="shared" ref="S34" si="24">SUM(S35:S38)</f>
        <v>12336.047</v>
      </c>
      <c r="T34" s="131">
        <f t="shared" si="4"/>
        <v>3369.3949999999986</v>
      </c>
      <c r="U34" s="132">
        <f t="shared" si="22"/>
        <v>127.3134092306879</v>
      </c>
      <c r="V34" s="132">
        <v>4</v>
      </c>
      <c r="W34" s="82">
        <f>K34-'[1]2021'!$I$33</f>
        <v>2011.8279999999995</v>
      </c>
    </row>
    <row r="35" spans="1:29" s="88" customFormat="1" ht="58.5" x14ac:dyDescent="0.25">
      <c r="A35" s="85" t="s">
        <v>209</v>
      </c>
      <c r="B35" s="148" t="s">
        <v>81</v>
      </c>
      <c r="C35" s="215" t="s">
        <v>80</v>
      </c>
      <c r="D35" s="133">
        <v>1500</v>
      </c>
      <c r="E35" s="133">
        <f t="shared" si="7"/>
        <v>1500</v>
      </c>
      <c r="F35" s="134">
        <f t="shared" si="8"/>
        <v>374.697</v>
      </c>
      <c r="G35" s="133">
        <v>105.29900000000001</v>
      </c>
      <c r="H35" s="133">
        <v>116.64</v>
      </c>
      <c r="I35" s="133">
        <v>11.1</v>
      </c>
      <c r="J35" s="133">
        <v>63.677999999999997</v>
      </c>
      <c r="K35" s="133">
        <v>77.98</v>
      </c>
      <c r="L35" s="135">
        <v>366</v>
      </c>
      <c r="M35" s="136">
        <f t="shared" si="1"/>
        <v>8.6970000000000027</v>
      </c>
      <c r="N35" s="137">
        <f t="shared" si="21"/>
        <v>102.37622950819672</v>
      </c>
      <c r="O35" s="131">
        <f t="shared" si="11"/>
        <v>625</v>
      </c>
      <c r="P35" s="136">
        <f t="shared" si="2"/>
        <v>-250.303</v>
      </c>
      <c r="Q35" s="137">
        <f t="shared" si="3"/>
        <v>59.951520000000002</v>
      </c>
      <c r="R35" s="137">
        <f t="shared" si="9"/>
        <v>24.979800000000001</v>
      </c>
      <c r="S35" s="134">
        <v>606.38699999999994</v>
      </c>
      <c r="T35" s="136">
        <f t="shared" si="4"/>
        <v>-231.68999999999994</v>
      </c>
      <c r="U35" s="137">
        <f t="shared" si="22"/>
        <v>61.791727065388947</v>
      </c>
      <c r="V35" s="137">
        <v>2.5</v>
      </c>
      <c r="W35" s="137">
        <f>U35-100</f>
        <v>-38.208272934611053</v>
      </c>
      <c r="X35" s="86"/>
    </row>
    <row r="36" spans="1:29" s="88" customFormat="1" ht="39.75" customHeight="1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f t="shared" si="7"/>
        <v>32000</v>
      </c>
      <c r="F36" s="134">
        <f t="shared" si="8"/>
        <v>15101.858</v>
      </c>
      <c r="G36" s="133">
        <v>2558.1509999999998</v>
      </c>
      <c r="H36" s="133">
        <v>2929.9290000000001</v>
      </c>
      <c r="I36" s="133">
        <v>1393.9839999999999</v>
      </c>
      <c r="J36" s="133">
        <v>3737.3780000000002</v>
      </c>
      <c r="K36" s="133">
        <v>4482.4160000000002</v>
      </c>
      <c r="L36" s="135">
        <v>14306.290999999999</v>
      </c>
      <c r="M36" s="136">
        <f t="shared" si="1"/>
        <v>795.56700000000092</v>
      </c>
      <c r="N36" s="137">
        <f t="shared" si="21"/>
        <v>105.56095916125292</v>
      </c>
      <c r="O36" s="131">
        <f t="shared" si="11"/>
        <v>13333.333333333332</v>
      </c>
      <c r="P36" s="136">
        <f t="shared" si="2"/>
        <v>1768.5246666666681</v>
      </c>
      <c r="Q36" s="137">
        <f t="shared" si="3"/>
        <v>113.263935</v>
      </c>
      <c r="R36" s="137">
        <f t="shared" si="9"/>
        <v>47.193306249999999</v>
      </c>
      <c r="S36" s="134">
        <v>11144.460999999999</v>
      </c>
      <c r="T36" s="136">
        <f t="shared" si="4"/>
        <v>3957.3970000000008</v>
      </c>
      <c r="U36" s="137">
        <f t="shared" si="22"/>
        <v>135.50999011975546</v>
      </c>
      <c r="V36" s="137">
        <v>4.2</v>
      </c>
      <c r="W36" s="137">
        <f>U36-100</f>
        <v>35.509990119755457</v>
      </c>
      <c r="X36" s="87"/>
    </row>
    <row r="37" spans="1:29" s="88" customFormat="1" ht="48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f t="shared" si="7"/>
        <v>1250</v>
      </c>
      <c r="F37" s="134">
        <f t="shared" si="8"/>
        <v>212.417</v>
      </c>
      <c r="G37" s="133">
        <v>109.502</v>
      </c>
      <c r="H37" s="133">
        <v>95.206000000000003</v>
      </c>
      <c r="I37" s="133">
        <v>0</v>
      </c>
      <c r="J37" s="133">
        <v>0</v>
      </c>
      <c r="K37" s="133">
        <v>7.7089999999999996</v>
      </c>
      <c r="L37" s="135">
        <v>204.7</v>
      </c>
      <c r="M37" s="136">
        <f t="shared" si="1"/>
        <v>7.717000000000013</v>
      </c>
      <c r="N37" s="137">
        <f t="shared" si="21"/>
        <v>103.76990718124084</v>
      </c>
      <c r="O37" s="131">
        <f t="shared" si="11"/>
        <v>520.83333333333337</v>
      </c>
      <c r="P37" s="136">
        <f t="shared" si="2"/>
        <v>-308.41633333333334</v>
      </c>
      <c r="Q37" s="137">
        <f t="shared" si="3"/>
        <v>40.784064000000001</v>
      </c>
      <c r="R37" s="137">
        <f t="shared" si="9"/>
        <v>16.993359999999999</v>
      </c>
      <c r="S37" s="134">
        <v>558.79899999999998</v>
      </c>
      <c r="T37" s="136">
        <f t="shared" si="4"/>
        <v>-346.38199999999995</v>
      </c>
      <c r="U37" s="137">
        <f t="shared" si="22"/>
        <v>38.013131734308757</v>
      </c>
      <c r="V37" s="137">
        <v>3.2</v>
      </c>
    </row>
    <row r="38" spans="1:29" s="88" customFormat="1" ht="136.5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f t="shared" si="7"/>
        <v>82</v>
      </c>
      <c r="F38" s="134">
        <f t="shared" si="8"/>
        <v>16.47</v>
      </c>
      <c r="G38" s="133">
        <v>7.79</v>
      </c>
      <c r="H38" s="133">
        <v>8.68</v>
      </c>
      <c r="I38" s="133">
        <v>0</v>
      </c>
      <c r="J38" s="133">
        <v>0</v>
      </c>
      <c r="K38" s="133">
        <v>0</v>
      </c>
      <c r="L38" s="135">
        <v>16.399999999999999</v>
      </c>
      <c r="M38" s="136">
        <f t="shared" si="1"/>
        <v>7.0000000000000284E-2</v>
      </c>
      <c r="N38" s="137">
        <f t="shared" si="21"/>
        <v>100.42682926829269</v>
      </c>
      <c r="O38" s="131">
        <f t="shared" si="11"/>
        <v>34.166666666666664</v>
      </c>
      <c r="P38" s="136">
        <f t="shared" si="2"/>
        <v>-17.696666666666665</v>
      </c>
      <c r="Q38" s="137">
        <f t="shared" si="3"/>
        <v>48.204878048780486</v>
      </c>
      <c r="R38" s="137">
        <f t="shared" si="9"/>
        <v>20.085365853658534</v>
      </c>
      <c r="S38" s="134">
        <v>26.400000000000002</v>
      </c>
      <c r="T38" s="136">
        <f t="shared" si="4"/>
        <v>-9.9300000000000033</v>
      </c>
      <c r="U38" s="137">
        <f t="shared" si="22"/>
        <v>62.386363636363626</v>
      </c>
      <c r="V38" s="137">
        <v>-15.5</v>
      </c>
    </row>
    <row r="39" spans="1:29" s="84" customFormat="1" ht="71.25" customHeight="1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f t="shared" si="7"/>
        <v>12300</v>
      </c>
      <c r="F39" s="129">
        <f t="shared" si="8"/>
        <v>4554.3519999999999</v>
      </c>
      <c r="G39" s="128">
        <v>1496.537</v>
      </c>
      <c r="H39" s="128">
        <v>908.92200000000003</v>
      </c>
      <c r="I39" s="128">
        <v>518.16800000000001</v>
      </c>
      <c r="J39" s="128">
        <v>785.06899999999996</v>
      </c>
      <c r="K39" s="128">
        <v>845.65599999999995</v>
      </c>
      <c r="L39" s="130">
        <v>4267.5</v>
      </c>
      <c r="M39" s="131">
        <f t="shared" si="1"/>
        <v>286.85199999999986</v>
      </c>
      <c r="N39" s="132">
        <f t="shared" si="21"/>
        <v>106.72178090216755</v>
      </c>
      <c r="O39" s="131">
        <f t="shared" si="11"/>
        <v>5125</v>
      </c>
      <c r="P39" s="131">
        <f t="shared" si="2"/>
        <v>-570.64800000000014</v>
      </c>
      <c r="Q39" s="132">
        <f t="shared" si="3"/>
        <v>88.865404878048778</v>
      </c>
      <c r="R39" s="132">
        <f t="shared" si="9"/>
        <v>37.027252032520323</v>
      </c>
      <c r="S39" s="129">
        <v>4743.1910000000007</v>
      </c>
      <c r="T39" s="131">
        <f t="shared" si="4"/>
        <v>-188.83900000000085</v>
      </c>
      <c r="U39" s="132">
        <f t="shared" si="22"/>
        <v>96.018735066751461</v>
      </c>
      <c r="V39" s="132">
        <v>-8.3000000000000007</v>
      </c>
      <c r="W39" s="82">
        <f>K39-'[1]2021'!$I$38</f>
        <v>-163.24600000000009</v>
      </c>
    </row>
    <row r="40" spans="1:29" s="84" customFormat="1" ht="43.5" customHeight="1" x14ac:dyDescent="0.25">
      <c r="A40" s="80">
        <f t="shared" ref="A40:A46" si="25">A39+1</f>
        <v>17</v>
      </c>
      <c r="B40" s="89" t="s">
        <v>56</v>
      </c>
      <c r="C40" s="81" t="s">
        <v>16</v>
      </c>
      <c r="D40" s="128">
        <v>600</v>
      </c>
      <c r="E40" s="128">
        <f t="shared" si="7"/>
        <v>600</v>
      </c>
      <c r="F40" s="129">
        <f t="shared" si="8"/>
        <v>126.78400000000001</v>
      </c>
      <c r="G40" s="128">
        <v>46.207000000000001</v>
      </c>
      <c r="H40" s="128">
        <v>38.993000000000002</v>
      </c>
      <c r="I40" s="128">
        <v>5.9279999999999999</v>
      </c>
      <c r="J40" s="128">
        <v>15.554</v>
      </c>
      <c r="K40" s="128">
        <v>20.102</v>
      </c>
      <c r="L40" s="130">
        <v>120.101</v>
      </c>
      <c r="M40" s="131">
        <f t="shared" si="1"/>
        <v>6.6830000000000069</v>
      </c>
      <c r="N40" s="132">
        <f t="shared" si="21"/>
        <v>105.5644832266176</v>
      </c>
      <c r="O40" s="131">
        <f t="shared" si="11"/>
        <v>250</v>
      </c>
      <c r="P40" s="131">
        <f t="shared" si="2"/>
        <v>-123.21599999999999</v>
      </c>
      <c r="Q40" s="132">
        <f t="shared" si="3"/>
        <v>50.7136</v>
      </c>
      <c r="R40" s="132">
        <f t="shared" si="9"/>
        <v>21.130666666666666</v>
      </c>
      <c r="S40" s="129">
        <v>188.029</v>
      </c>
      <c r="T40" s="131">
        <f t="shared" si="4"/>
        <v>-61.24499999999999</v>
      </c>
      <c r="U40" s="132">
        <f t="shared" si="22"/>
        <v>67.427896760606075</v>
      </c>
      <c r="V40" s="132">
        <v>-29.5</v>
      </c>
      <c r="W40" s="83">
        <f>100-U40</f>
        <v>32.572103239393925</v>
      </c>
    </row>
    <row r="41" spans="1:29" s="84" customFormat="1" ht="117" x14ac:dyDescent="0.25">
      <c r="A41" s="80">
        <f t="shared" si="25"/>
        <v>18</v>
      </c>
      <c r="B41" s="89" t="s">
        <v>105</v>
      </c>
      <c r="C41" s="81" t="s">
        <v>104</v>
      </c>
      <c r="D41" s="128">
        <v>2.6</v>
      </c>
      <c r="E41" s="128">
        <f t="shared" si="7"/>
        <v>2.6</v>
      </c>
      <c r="F41" s="129">
        <f t="shared" si="8"/>
        <v>0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30">
        <v>0</v>
      </c>
      <c r="M41" s="131">
        <f t="shared" si="1"/>
        <v>0</v>
      </c>
      <c r="N41" s="132"/>
      <c r="O41" s="131">
        <f t="shared" si="11"/>
        <v>1.0833333333333335</v>
      </c>
      <c r="P41" s="131">
        <f t="shared" si="2"/>
        <v>-1.0833333333333335</v>
      </c>
      <c r="Q41" s="132"/>
      <c r="R41" s="132">
        <f t="shared" si="9"/>
        <v>0</v>
      </c>
      <c r="S41" s="129">
        <v>0</v>
      </c>
      <c r="T41" s="131">
        <f t="shared" si="4"/>
        <v>0</v>
      </c>
      <c r="U41" s="132"/>
      <c r="V41" s="132">
        <v>0</v>
      </c>
    </row>
    <row r="42" spans="1:29" s="84" customFormat="1" ht="39" x14ac:dyDescent="0.25">
      <c r="A42" s="80">
        <f t="shared" si="25"/>
        <v>19</v>
      </c>
      <c r="B42" s="114" t="s">
        <v>63</v>
      </c>
      <c r="C42" s="34" t="s">
        <v>64</v>
      </c>
      <c r="D42" s="128">
        <v>235</v>
      </c>
      <c r="E42" s="128">
        <f t="shared" si="7"/>
        <v>235</v>
      </c>
      <c r="F42" s="129">
        <f t="shared" si="8"/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30">
        <v>0</v>
      </c>
      <c r="M42" s="131">
        <f t="shared" si="1"/>
        <v>0</v>
      </c>
      <c r="N42" s="132"/>
      <c r="O42" s="131">
        <f t="shared" si="11"/>
        <v>97.916666666666657</v>
      </c>
      <c r="P42" s="131">
        <f t="shared" si="2"/>
        <v>-97.916666666666657</v>
      </c>
      <c r="Q42" s="132">
        <f t="shared" ref="Q42:Q47" si="26">F42/O42*100</f>
        <v>0</v>
      </c>
      <c r="R42" s="132">
        <f t="shared" si="9"/>
        <v>0</v>
      </c>
      <c r="S42" s="129">
        <v>0</v>
      </c>
      <c r="T42" s="131">
        <f t="shared" si="4"/>
        <v>0</v>
      </c>
      <c r="U42" s="132"/>
      <c r="V42" s="132">
        <v>-43.9</v>
      </c>
    </row>
    <row r="43" spans="1:29" s="84" customFormat="1" ht="30.75" customHeight="1" x14ac:dyDescent="0.25">
      <c r="A43" s="80">
        <f t="shared" si="25"/>
        <v>20</v>
      </c>
      <c r="B43" s="89" t="s">
        <v>8</v>
      </c>
      <c r="C43" s="81" t="s">
        <v>21</v>
      </c>
      <c r="D43" s="128">
        <v>1700</v>
      </c>
      <c r="E43" s="128">
        <f t="shared" si="7"/>
        <v>1700</v>
      </c>
      <c r="F43" s="129">
        <f t="shared" si="8"/>
        <v>511.94400000000007</v>
      </c>
      <c r="G43" s="128">
        <v>229.78800000000001</v>
      </c>
      <c r="H43" s="128">
        <v>139.07599999999999</v>
      </c>
      <c r="I43" s="128">
        <v>28.978999999999999</v>
      </c>
      <c r="J43" s="128">
        <v>35.814</v>
      </c>
      <c r="K43" s="128">
        <v>78.287000000000006</v>
      </c>
      <c r="L43" s="130">
        <v>484</v>
      </c>
      <c r="M43" s="131">
        <f t="shared" si="1"/>
        <v>27.944000000000074</v>
      </c>
      <c r="N43" s="132">
        <f>F43/L43*100</f>
        <v>105.77355371900828</v>
      </c>
      <c r="O43" s="131">
        <f t="shared" si="11"/>
        <v>708.33333333333326</v>
      </c>
      <c r="P43" s="131">
        <f t="shared" si="2"/>
        <v>-196.38933333333318</v>
      </c>
      <c r="Q43" s="132">
        <f t="shared" si="26"/>
        <v>72.27444705882354</v>
      </c>
      <c r="R43" s="132">
        <f t="shared" si="9"/>
        <v>30.114352941176474</v>
      </c>
      <c r="S43" s="129">
        <v>723.06200000000001</v>
      </c>
      <c r="T43" s="131">
        <f t="shared" si="4"/>
        <v>-211.11799999999994</v>
      </c>
      <c r="U43" s="132">
        <f>F43/S43*100</f>
        <v>70.80222719490169</v>
      </c>
      <c r="V43" s="132">
        <v>2</v>
      </c>
      <c r="Z43" s="84">
        <v>246438.04</v>
      </c>
    </row>
    <row r="44" spans="1:29" s="84" customFormat="1" ht="195" x14ac:dyDescent="0.25">
      <c r="A44" s="80">
        <f t="shared" si="25"/>
        <v>21</v>
      </c>
      <c r="B44" s="89" t="s">
        <v>55</v>
      </c>
      <c r="C44" s="81" t="s">
        <v>49</v>
      </c>
      <c r="D44" s="128">
        <v>1000</v>
      </c>
      <c r="E44" s="128">
        <f t="shared" si="7"/>
        <v>1000</v>
      </c>
      <c r="F44" s="129">
        <f t="shared" si="8"/>
        <v>278.75</v>
      </c>
      <c r="G44" s="128">
        <v>162.79300000000001</v>
      </c>
      <c r="H44" s="128">
        <v>1.9590000000000001</v>
      </c>
      <c r="I44" s="128">
        <v>97.171000000000006</v>
      </c>
      <c r="J44" s="128">
        <v>0</v>
      </c>
      <c r="K44" s="128">
        <v>16.827000000000002</v>
      </c>
      <c r="L44" s="130">
        <v>278.7</v>
      </c>
      <c r="M44" s="131">
        <f t="shared" si="1"/>
        <v>5.0000000000011369E-2</v>
      </c>
      <c r="N44" s="132">
        <f>F44/L44*100</f>
        <v>100.01794043774667</v>
      </c>
      <c r="O44" s="131">
        <f t="shared" si="11"/>
        <v>416.66666666666663</v>
      </c>
      <c r="P44" s="131">
        <f t="shared" si="2"/>
        <v>-137.91666666666663</v>
      </c>
      <c r="Q44" s="132">
        <f t="shared" si="26"/>
        <v>66.900000000000006</v>
      </c>
      <c r="R44" s="132">
        <f t="shared" si="9"/>
        <v>27.875</v>
      </c>
      <c r="S44" s="129">
        <v>415.452</v>
      </c>
      <c r="T44" s="131">
        <f t="shared" si="4"/>
        <v>-136.702</v>
      </c>
      <c r="U44" s="132">
        <f>F44/S44*100</f>
        <v>67.09559708462109</v>
      </c>
      <c r="V44" s="132">
        <v>-16.899999999999999</v>
      </c>
    </row>
    <row r="45" spans="1:29" s="84" customFormat="1" ht="105.75" customHeight="1" x14ac:dyDescent="0.25">
      <c r="A45" s="80">
        <f t="shared" si="25"/>
        <v>22</v>
      </c>
      <c r="B45" s="89" t="s">
        <v>133</v>
      </c>
      <c r="C45" s="81" t="s">
        <v>132</v>
      </c>
      <c r="D45" s="128">
        <v>1</v>
      </c>
      <c r="E45" s="128">
        <f t="shared" si="7"/>
        <v>1</v>
      </c>
      <c r="F45" s="129">
        <f t="shared" si="8"/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30">
        <v>0</v>
      </c>
      <c r="M45" s="131">
        <f t="shared" si="1"/>
        <v>0</v>
      </c>
      <c r="N45" s="132"/>
      <c r="O45" s="131">
        <f t="shared" si="11"/>
        <v>0.41666666666666663</v>
      </c>
      <c r="P45" s="131">
        <f t="shared" si="2"/>
        <v>-0.41666666666666663</v>
      </c>
      <c r="Q45" s="132">
        <f t="shared" si="26"/>
        <v>0</v>
      </c>
      <c r="R45" s="132">
        <f t="shared" si="9"/>
        <v>0</v>
      </c>
      <c r="S45" s="129">
        <v>0</v>
      </c>
      <c r="T45" s="131">
        <f t="shared" si="4"/>
        <v>0</v>
      </c>
      <c r="U45" s="132"/>
      <c r="V45" s="132"/>
      <c r="X45" s="82">
        <f>F47-F43</f>
        <v>1695209.395</v>
      </c>
      <c r="Y45" s="82">
        <f>S47-S43</f>
        <v>1437716.6580000003</v>
      </c>
      <c r="Z45" s="83">
        <f>X45/Y45</f>
        <v>1.1790983888008897</v>
      </c>
    </row>
    <row r="46" spans="1:29" s="84" customFormat="1" ht="56.25" customHeight="1" x14ac:dyDescent="0.25">
      <c r="A46" s="80">
        <f t="shared" si="25"/>
        <v>23</v>
      </c>
      <c r="B46" s="89" t="s">
        <v>91</v>
      </c>
      <c r="C46" s="81" t="s">
        <v>90</v>
      </c>
      <c r="D46" s="128">
        <v>1</v>
      </c>
      <c r="E46" s="128">
        <f t="shared" si="7"/>
        <v>1</v>
      </c>
      <c r="F46" s="129">
        <f t="shared" si="8"/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30">
        <v>0</v>
      </c>
      <c r="M46" s="131">
        <f t="shared" si="1"/>
        <v>0</v>
      </c>
      <c r="N46" s="132"/>
      <c r="O46" s="131">
        <f t="shared" si="11"/>
        <v>0.41666666666666663</v>
      </c>
      <c r="P46" s="131">
        <f t="shared" si="2"/>
        <v>-0.41666666666666663</v>
      </c>
      <c r="Q46" s="132">
        <f t="shared" si="26"/>
        <v>0</v>
      </c>
      <c r="R46" s="132">
        <f t="shared" si="9"/>
        <v>0</v>
      </c>
      <c r="S46" s="129">
        <v>0</v>
      </c>
      <c r="T46" s="131">
        <f t="shared" si="4"/>
        <v>0</v>
      </c>
      <c r="U46" s="132"/>
      <c r="V46" s="132"/>
    </row>
    <row r="47" spans="1:29" s="95" customFormat="1" ht="50.25" customHeight="1" x14ac:dyDescent="0.3">
      <c r="A47" s="90"/>
      <c r="B47" s="91" t="s">
        <v>184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E7+E9+E10+E15+E20+E26+E27+E28+E29+E30+E31+E32+E34+E39+E40+E41+E42+E43+E44+E46+E45+E33</f>
        <v>4389459.9849999994</v>
      </c>
      <c r="F47" s="92">
        <f>SUM(G47:K47)</f>
        <v>1695721.3389999999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J7+J9+J10+J15+J20+J26+J27+J28+J29+J30+J31+J32+J34+J39+J40+J41+J42+J43+J44+J46+J45+J33+J19</f>
        <v>326149.27299999999</v>
      </c>
      <c r="K47" s="92">
        <f>K7+K9+K10+K15+K20+K26+K27+K28+K29+K30+K31+K32+K34+K39+K40+K41+K42+K43+K44+K46+K45+K33+K19</f>
        <v>384494.11599999998</v>
      </c>
      <c r="L47" s="92">
        <f>L7+L9+L10+L15+L20+L26+L27+L28+L29+L30+L31+L32+L34+L39+L40+L41+L42+L43+L44+L46+L45+L33</f>
        <v>1650859.1189999999</v>
      </c>
      <c r="M47" s="93">
        <f t="shared" si="1"/>
        <v>44862.219999999972</v>
      </c>
      <c r="N47" s="94">
        <f>F47/L47*100</f>
        <v>102.71750747739001</v>
      </c>
      <c r="O47" s="92">
        <f>O7+O9+O10+O15+O20+O26+O27+O28+O29+O30+O31+O32+O34+O39+O40+O41+O42+O43+O44+O46+O45+O33</f>
        <v>1828941.6604166664</v>
      </c>
      <c r="P47" s="93">
        <f t="shared" si="2"/>
        <v>-133220.3214166665</v>
      </c>
      <c r="Q47" s="94">
        <f t="shared" si="26"/>
        <v>92.7159884702765</v>
      </c>
      <c r="R47" s="94">
        <f t="shared" si="9"/>
        <v>38.631661862615211</v>
      </c>
      <c r="S47" s="92">
        <f>S7+S9+S10+S15+S20+S26+S27+S28+S29+S30+S31+S32+S34+S39+S40+S41+S42+S43+S44+S46+S45+S33</f>
        <v>1438439.7200000002</v>
      </c>
      <c r="T47" s="93">
        <f t="shared" si="4"/>
        <v>257281.61899999972</v>
      </c>
      <c r="U47" s="94">
        <f>F47/S47*100</f>
        <v>117.88615924760472</v>
      </c>
      <c r="V47" s="94">
        <v>17.899999999999999</v>
      </c>
      <c r="W47" s="96">
        <v>1438439.7199999997</v>
      </c>
      <c r="X47" s="96">
        <f>W47-S47</f>
        <v>0</v>
      </c>
      <c r="AA47" s="96" t="e">
        <f>#REF!-#REF!-#REF!</f>
        <v>#REF!</v>
      </c>
      <c r="AC47" s="95">
        <v>294547.38299999997</v>
      </c>
    </row>
    <row r="48" spans="1:29" s="95" customFormat="1" ht="67.5" customHeight="1" x14ac:dyDescent="0.3">
      <c r="A48" s="90"/>
      <c r="B48" s="91" t="s">
        <v>185</v>
      </c>
      <c r="C48" s="92"/>
      <c r="D48" s="92" t="e">
        <f>#REF!</f>
        <v>#REF!</v>
      </c>
      <c r="E48" s="92">
        <f>E47</f>
        <v>4389459.9849999994</v>
      </c>
      <c r="F48" s="92">
        <f t="shared" ref="F48:R48" si="27">F47</f>
        <v>1695721.3389999999</v>
      </c>
      <c r="G48" s="92">
        <f t="shared" si="27"/>
        <v>303539.72700000007</v>
      </c>
      <c r="H48" s="92">
        <f t="shared" si="27"/>
        <v>382603.97200000001</v>
      </c>
      <c r="I48" s="92">
        <f t="shared" si="27"/>
        <v>298934.25099999999</v>
      </c>
      <c r="J48" s="92">
        <f t="shared" si="27"/>
        <v>326149.27299999999</v>
      </c>
      <c r="K48" s="92">
        <f t="shared" si="27"/>
        <v>384494.11599999998</v>
      </c>
      <c r="L48" s="92">
        <f t="shared" si="27"/>
        <v>1650859.1189999999</v>
      </c>
      <c r="M48" s="93">
        <f t="shared" si="27"/>
        <v>44862.219999999972</v>
      </c>
      <c r="N48" s="94">
        <f t="shared" si="27"/>
        <v>102.71750747739001</v>
      </c>
      <c r="O48" s="92">
        <f t="shared" si="27"/>
        <v>1828941.6604166664</v>
      </c>
      <c r="P48" s="93">
        <f t="shared" si="27"/>
        <v>-133220.3214166665</v>
      </c>
      <c r="Q48" s="94">
        <f t="shared" si="27"/>
        <v>92.7159884702765</v>
      </c>
      <c r="R48" s="94">
        <f t="shared" si="27"/>
        <v>38.631661862615211</v>
      </c>
      <c r="S48" s="92">
        <f>S47-S7+S8</f>
        <v>1498207.4118000004</v>
      </c>
      <c r="T48" s="93">
        <f t="shared" si="4"/>
        <v>197513.92719999957</v>
      </c>
      <c r="U48" s="94">
        <f>F48/S48*100</f>
        <v>113.18335002512765</v>
      </c>
      <c r="V48" s="94"/>
      <c r="W48" s="96"/>
      <c r="X48" s="96"/>
      <c r="AA48" s="96"/>
    </row>
    <row r="49" spans="2:47" s="20" customFormat="1" ht="18.75" x14ac:dyDescent="0.3">
      <c r="B49" s="4"/>
      <c r="C49" s="3"/>
      <c r="D49" s="3"/>
      <c r="E49" s="3"/>
      <c r="F49" s="156"/>
      <c r="G49" s="3"/>
      <c r="H49" s="3"/>
      <c r="I49" s="3"/>
      <c r="J49" s="3"/>
      <c r="K49" s="3"/>
      <c r="L49" s="3"/>
      <c r="M49" s="1"/>
      <c r="N49" s="1"/>
      <c r="O49" s="1"/>
      <c r="P49" s="1"/>
      <c r="Q49" s="1"/>
      <c r="R49" s="1"/>
      <c r="S49" s="156"/>
      <c r="T49" s="1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2:47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3"/>
      <c r="K50" s="3"/>
      <c r="L50" s="3"/>
      <c r="M50" s="1"/>
      <c r="N50" s="1"/>
      <c r="O50" s="1"/>
      <c r="P50" s="1"/>
      <c r="Q50" s="1"/>
      <c r="R50" s="1"/>
      <c r="S50" s="33"/>
      <c r="T50" s="1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2:47" s="20" customFormat="1" ht="18.75" x14ac:dyDescent="0.3">
      <c r="B51" s="4"/>
      <c r="C51" s="3"/>
      <c r="D51" s="3"/>
      <c r="E51" s="3"/>
      <c r="F51" s="33"/>
      <c r="G51" s="3"/>
      <c r="H51" s="3"/>
      <c r="I51" s="3"/>
      <c r="J51" s="3"/>
      <c r="K51" s="3"/>
      <c r="L51" s="3"/>
      <c r="M51" s="1"/>
      <c r="N51" s="1"/>
      <c r="O51" s="1"/>
      <c r="P51" s="1"/>
      <c r="Q51" s="1"/>
      <c r="R51" s="1"/>
      <c r="S51" s="33"/>
      <c r="T51" s="1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2:47" s="20" customFormat="1" ht="18.75" x14ac:dyDescent="0.3">
      <c r="B52" s="29"/>
      <c r="F52" s="33"/>
      <c r="G52" s="3"/>
      <c r="H52" s="3"/>
      <c r="I52" s="3"/>
      <c r="J52" s="3"/>
      <c r="K52" s="3"/>
      <c r="L52" s="3"/>
      <c r="M52" s="1"/>
      <c r="N52" s="1"/>
      <c r="O52" s="1"/>
      <c r="P52" s="1"/>
      <c r="Q52" s="1"/>
      <c r="R52" s="1"/>
      <c r="S52" s="33"/>
      <c r="T52" s="1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2:47" s="20" customFormat="1" ht="18.75" x14ac:dyDescent="0.3">
      <c r="B53" s="29"/>
      <c r="F53" s="33"/>
      <c r="G53" s="3"/>
      <c r="H53" s="3"/>
      <c r="I53" s="3"/>
      <c r="J53" s="3"/>
      <c r="K53" s="3"/>
      <c r="L53" s="3"/>
      <c r="M53" s="1"/>
      <c r="N53" s="1"/>
      <c r="O53" s="1"/>
      <c r="P53" s="1"/>
      <c r="Q53" s="1"/>
      <c r="R53" s="1"/>
      <c r="S53" s="33"/>
      <c r="T53" s="1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</sheetData>
  <mergeCells count="26"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V3:V4"/>
    <mergeCell ref="C21:C23"/>
    <mergeCell ref="A7:A8"/>
    <mergeCell ref="A6:U6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</mergeCells>
  <printOptions horizontalCentered="1"/>
  <pageMargins left="0.39370078740157483" right="0" top="0" bottom="0" header="0.23622047244094491" footer="0.11811023622047245"/>
  <pageSetup paperSize="8" scale="59" fitToHeight="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2022</vt:lpstr>
      <vt:lpstr>2021 64%</vt:lpstr>
      <vt:lpstr>2021 2 міс 64</vt:lpstr>
      <vt:lpstr>2021 3 міс 64</vt:lpstr>
      <vt:lpstr>2021 4 міс 64</vt:lpstr>
      <vt:lpstr>2022 5 міс 64</vt:lpstr>
      <vt:lpstr>'2021 2 міс 64'!Заголовки_для_печати</vt:lpstr>
      <vt:lpstr>'2021 3 міс 64'!Заголовки_для_печати</vt:lpstr>
      <vt:lpstr>'2021 4 міс 64'!Заголовки_для_печати</vt:lpstr>
      <vt:lpstr>'2021 64%'!Заголовки_для_печати</vt:lpstr>
      <vt:lpstr>'2022'!Заголовки_для_печати</vt:lpstr>
      <vt:lpstr>'2022 5 міс 64'!Заголовки_для_печати</vt:lpstr>
      <vt:lpstr>'2021 2 міс 64'!Область_печати</vt:lpstr>
      <vt:lpstr>'2021 3 міс 64'!Область_печати</vt:lpstr>
      <vt:lpstr>'2021 4 міс 64'!Область_печати</vt:lpstr>
      <vt:lpstr>'2021 64%'!Область_печати</vt:lpstr>
      <vt:lpstr>'2022'!Область_печати</vt:lpstr>
      <vt:lpstr>'2022 5 міс 64'!Область_печати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2022-06-07T06:26:26Z</cp:lastPrinted>
  <dcterms:created xsi:type="dcterms:W3CDTF">1996-10-08T23:32:33Z</dcterms:created>
  <dcterms:modified xsi:type="dcterms:W3CDTF">2022-07-01T09:21:21Z</dcterms:modified>
</cp:coreProperties>
</file>